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4635" tabRatio="926"/>
  </bookViews>
  <sheets>
    <sheet name="NL1" sheetId="1" r:id="rId1"/>
    <sheet name="NL2" sheetId="7" r:id="rId2"/>
    <sheet name="NL3" sheetId="8" r:id="rId3"/>
    <sheet name="NL4" sheetId="9" r:id="rId4"/>
    <sheet name="NL5" sheetId="10" r:id="rId5"/>
    <sheet name="NL6" sheetId="11" r:id="rId6"/>
    <sheet name="NL7" sheetId="12" r:id="rId7"/>
    <sheet name="NL10" sheetId="13" r:id="rId8"/>
    <sheet name="NL11" sheetId="22" r:id="rId9"/>
    <sheet name="NL12" sheetId="14" r:id="rId10"/>
    <sheet name="NL13" sheetId="15" r:id="rId11"/>
    <sheet name="NL14" sheetId="16" r:id="rId12"/>
    <sheet name="NL15" sheetId="17" r:id="rId13"/>
    <sheet name="NL17" sheetId="18" r:id="rId14"/>
    <sheet name="NL18" sheetId="19" r:id="rId15"/>
    <sheet name="NL20" sheetId="4" r:id="rId16"/>
    <sheet name="NL26" sheetId="5" r:id="rId17"/>
    <sheet name="NL33" sheetId="2" r:id="rId18"/>
    <sheet name="NL36" sheetId="6" r:id="rId19"/>
    <sheet name="NL40" sheetId="20" r:id="rId20"/>
    <sheet name="NL44" sheetId="21" r:id="rId21"/>
  </sheets>
  <calcPr calcId="152511"/>
</workbook>
</file>

<file path=xl/calcChain.xml><?xml version="1.0" encoding="utf-8"?>
<calcChain xmlns="http://schemas.openxmlformats.org/spreadsheetml/2006/main">
  <c r="T13" i="18" l="1"/>
  <c r="T7" i="18"/>
  <c r="AD9" i="19"/>
  <c r="AD13" i="18"/>
  <c r="DQ11" i="6"/>
  <c r="DP11" i="6"/>
  <c r="DO11" i="6"/>
  <c r="DN11" i="6"/>
  <c r="AE9" i="19"/>
  <c r="AE13" i="18"/>
  <c r="BL34" i="11" l="1"/>
  <c r="BL31" i="11"/>
  <c r="BL33" i="11"/>
  <c r="BL32" i="11"/>
  <c r="BL30" i="11"/>
  <c r="BL29" i="11"/>
  <c r="BL28" i="11"/>
  <c r="AD9" i="8"/>
  <c r="AE16" i="8"/>
  <c r="AE9" i="8"/>
  <c r="EM16" i="2"/>
  <c r="AE48" i="20" l="1"/>
  <c r="AE47" i="20"/>
  <c r="AE46" i="20"/>
  <c r="AE45" i="20"/>
  <c r="T48" i="20"/>
  <c r="T47" i="20"/>
  <c r="T46" i="20"/>
  <c r="T45" i="20"/>
  <c r="T9" i="8"/>
  <c r="U9" i="8" l="1"/>
  <c r="P9" i="8"/>
  <c r="H9" i="8"/>
  <c r="J9" i="8"/>
  <c r="I9" i="8" l="1"/>
  <c r="AG8" i="8"/>
  <c r="AG7" i="8"/>
  <c r="AA9" i="8"/>
  <c r="Q24" i="7"/>
  <c r="P24" i="7"/>
  <c r="S23" i="7"/>
  <c r="S25" i="7" s="1"/>
  <c r="R23" i="7"/>
  <c r="R25" i="7" s="1"/>
  <c r="S21" i="7"/>
  <c r="R21" i="7"/>
  <c r="S15" i="7"/>
  <c r="R15" i="7"/>
  <c r="BN35" i="14" l="1"/>
  <c r="BN19" i="14"/>
  <c r="BM35" i="14"/>
  <c r="BM19" i="14"/>
  <c r="AL20" i="14" l="1"/>
  <c r="AA97" i="20"/>
  <c r="AA96" i="20"/>
  <c r="AA95" i="20"/>
  <c r="AA58" i="20"/>
  <c r="AA57" i="20"/>
  <c r="AA56" i="20"/>
  <c r="AA55" i="20"/>
  <c r="AA48" i="20"/>
  <c r="AA47" i="20"/>
  <c r="AA46" i="20"/>
  <c r="AA45" i="20"/>
  <c r="U46" i="20"/>
  <c r="N58" i="20"/>
  <c r="N56" i="20"/>
  <c r="N55" i="20"/>
  <c r="N48" i="20"/>
  <c r="N47" i="20"/>
  <c r="N46" i="20"/>
  <c r="N45" i="20"/>
  <c r="H58" i="20"/>
  <c r="H56" i="20"/>
  <c r="H55" i="20"/>
  <c r="H48" i="20"/>
  <c r="H47" i="20"/>
  <c r="H46" i="20"/>
  <c r="H45" i="20"/>
  <c r="J49" i="20"/>
  <c r="J48" i="20"/>
  <c r="J47" i="20"/>
  <c r="J46" i="20"/>
  <c r="J45" i="20"/>
  <c r="J10" i="20"/>
  <c r="J11" i="20" s="1"/>
  <c r="AF58" i="20"/>
  <c r="AF56" i="20"/>
  <c r="AF55" i="20"/>
  <c r="AF47" i="20"/>
  <c r="AF48" i="20"/>
  <c r="AF46" i="20"/>
  <c r="AF45" i="20"/>
  <c r="AF9" i="8"/>
  <c r="BK24" i="7"/>
  <c r="BJ24" i="7"/>
  <c r="Z24" i="7" l="1"/>
  <c r="K58" i="20" l="1"/>
  <c r="K57" i="20"/>
  <c r="K56" i="20"/>
  <c r="K55" i="20"/>
  <c r="K48" i="20"/>
  <c r="K47" i="20"/>
  <c r="K46" i="20"/>
  <c r="K45" i="20"/>
  <c r="AA19" i="14"/>
  <c r="Z19" i="14"/>
  <c r="K9" i="8"/>
  <c r="U24" i="7"/>
  <c r="T24" i="7"/>
  <c r="G9" i="8" l="1"/>
  <c r="J34" i="14" l="1"/>
  <c r="J33" i="14"/>
  <c r="J31" i="14"/>
  <c r="J30" i="14"/>
  <c r="J29" i="14"/>
  <c r="J28" i="14"/>
  <c r="J23" i="14"/>
  <c r="J22" i="14"/>
  <c r="J19" i="14"/>
  <c r="J18" i="14"/>
  <c r="J14" i="14"/>
  <c r="J13" i="14"/>
  <c r="J10" i="14"/>
  <c r="J7" i="14"/>
  <c r="J6" i="14"/>
  <c r="D16" i="8"/>
  <c r="D9" i="8"/>
  <c r="C58" i="20" l="1"/>
  <c r="C57" i="20"/>
  <c r="C56" i="20"/>
  <c r="C55" i="20"/>
  <c r="C48" i="20"/>
  <c r="C47" i="20"/>
  <c r="C46" i="20"/>
  <c r="C45" i="20"/>
  <c r="F18" i="14"/>
  <c r="G13" i="14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B27" i="8"/>
  <c r="C27" i="8"/>
  <c r="AA14" i="18" l="1"/>
  <c r="AA13" i="18"/>
  <c r="AA7" i="18"/>
  <c r="N14" i="18"/>
  <c r="N13" i="18"/>
  <c r="N7" i="18"/>
  <c r="DU11" i="6"/>
  <c r="DT11" i="6"/>
  <c r="DS11" i="6"/>
  <c r="DR11" i="6"/>
  <c r="AF13" i="18"/>
  <c r="U14" i="18"/>
  <c r="P9" i="19" l="1"/>
  <c r="P13" i="18"/>
  <c r="H10" i="19" l="1"/>
  <c r="H9" i="19"/>
  <c r="K14" i="18"/>
  <c r="J14" i="18"/>
  <c r="J13" i="18"/>
  <c r="J7" i="18"/>
  <c r="J8" i="19" l="1"/>
  <c r="I14" i="18"/>
  <c r="H14" i="18"/>
  <c r="I7" i="18"/>
  <c r="I8" i="19"/>
  <c r="H7" i="18"/>
  <c r="H7" i="17"/>
  <c r="G10" i="19" l="1"/>
  <c r="G14" i="18"/>
  <c r="G13" i="18"/>
  <c r="G7" i="18"/>
  <c r="D10" i="19"/>
  <c r="D9" i="19"/>
  <c r="D14" i="18"/>
  <c r="I11" i="6"/>
  <c r="H11" i="6"/>
  <c r="G11" i="6"/>
  <c r="F11" i="6"/>
  <c r="C10" i="19"/>
  <c r="C14" i="18" l="1"/>
  <c r="C7" i="18"/>
  <c r="CC19" i="14" l="1"/>
  <c r="CB19" i="14"/>
  <c r="BS20" i="14"/>
  <c r="X11" i="16" l="1"/>
  <c r="AU100" i="10" l="1"/>
  <c r="AT100" i="10"/>
  <c r="M8" i="19" l="1"/>
  <c r="E8" i="19"/>
  <c r="L31" i="14" l="1"/>
  <c r="BM17" i="12"/>
  <c r="BL17" i="12"/>
  <c r="BM16" i="12"/>
  <c r="BL16" i="12"/>
  <c r="BM14" i="12"/>
  <c r="BL14" i="12"/>
  <c r="BM13" i="12"/>
  <c r="BL13" i="12"/>
  <c r="BM12" i="12"/>
  <c r="BL12" i="12"/>
  <c r="BM11" i="12"/>
  <c r="BL11" i="12"/>
  <c r="BM10" i="12"/>
  <c r="BL10" i="12"/>
  <c r="BM9" i="12"/>
  <c r="BL9" i="12"/>
  <c r="BM8" i="12"/>
  <c r="BL8" i="12"/>
  <c r="BM7" i="12"/>
  <c r="BL7" i="12"/>
  <c r="BM6" i="12"/>
  <c r="BL6" i="12"/>
  <c r="BM5" i="12"/>
  <c r="BL5" i="12"/>
  <c r="BK15" i="12"/>
  <c r="BJ15" i="12"/>
  <c r="BI15" i="12"/>
  <c r="BH15" i="12"/>
  <c r="BG15" i="12"/>
  <c r="BF15" i="12"/>
  <c r="BE15" i="12"/>
  <c r="BD15" i="12"/>
  <c r="BC15" i="12"/>
  <c r="BB15" i="12"/>
  <c r="BA15" i="12"/>
  <c r="AZ15" i="12"/>
  <c r="AY15" i="12"/>
  <c r="AX15" i="12"/>
  <c r="AW15" i="12"/>
  <c r="AV15" i="12"/>
  <c r="AU15" i="12"/>
  <c r="AT15" i="12"/>
  <c r="AS15" i="12"/>
  <c r="AR15" i="12"/>
  <c r="AQ15" i="12"/>
  <c r="AP15" i="12"/>
  <c r="AO15" i="12"/>
  <c r="AN15" i="12"/>
  <c r="AM15" i="12"/>
  <c r="AL15" i="12"/>
  <c r="AK15" i="12"/>
  <c r="AJ15" i="12"/>
  <c r="AI15" i="12"/>
  <c r="AH15" i="12"/>
  <c r="AG15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BM24" i="7"/>
  <c r="BL24" i="7"/>
  <c r="BM22" i="7"/>
  <c r="BL22" i="7"/>
  <c r="BM20" i="7"/>
  <c r="BL20" i="7"/>
  <c r="BM19" i="7"/>
  <c r="BL19" i="7"/>
  <c r="BM18" i="7"/>
  <c r="BL18" i="7"/>
  <c r="BM16" i="7"/>
  <c r="BL16" i="7"/>
  <c r="BM14" i="7"/>
  <c r="BL14" i="7"/>
  <c r="BM13" i="7"/>
  <c r="BL13" i="7"/>
  <c r="BM12" i="7"/>
  <c r="BL12" i="7"/>
  <c r="BM11" i="7"/>
  <c r="BL11" i="7"/>
  <c r="BM10" i="7"/>
  <c r="BL10" i="7"/>
  <c r="BM8" i="7"/>
  <c r="BL8" i="7"/>
  <c r="BM7" i="7"/>
  <c r="BL7" i="7"/>
  <c r="BM6" i="7"/>
  <c r="BL6" i="7"/>
  <c r="BM111" i="11"/>
  <c r="BL111" i="11"/>
  <c r="BM110" i="11"/>
  <c r="BL110" i="11"/>
  <c r="BM109" i="11"/>
  <c r="BL109" i="11"/>
  <c r="BM108" i="11"/>
  <c r="BL108" i="11"/>
  <c r="BM107" i="11"/>
  <c r="BL107" i="11"/>
  <c r="BM106" i="11"/>
  <c r="BL106" i="11"/>
  <c r="BM105" i="11"/>
  <c r="BL105" i="11"/>
  <c r="BM89" i="11"/>
  <c r="BL89" i="11"/>
  <c r="BM88" i="11"/>
  <c r="BL88" i="11"/>
  <c r="BM87" i="11"/>
  <c r="BL87" i="11"/>
  <c r="BM86" i="11"/>
  <c r="BL86" i="11"/>
  <c r="BM85" i="11"/>
  <c r="BL85" i="11"/>
  <c r="BM84" i="11"/>
  <c r="BL84" i="11"/>
  <c r="BM83" i="11"/>
  <c r="BL83" i="11"/>
  <c r="BM78" i="11"/>
  <c r="BL78" i="11"/>
  <c r="BM77" i="11"/>
  <c r="BL77" i="11"/>
  <c r="BM76" i="11"/>
  <c r="BL76" i="11"/>
  <c r="BM75" i="11"/>
  <c r="BL75" i="11"/>
  <c r="BM74" i="11"/>
  <c r="BL74" i="11"/>
  <c r="BM73" i="11"/>
  <c r="BL73" i="11"/>
  <c r="BM72" i="11"/>
  <c r="BL72" i="11"/>
  <c r="BM67" i="11"/>
  <c r="BL67" i="11"/>
  <c r="BM66" i="11"/>
  <c r="BL66" i="11"/>
  <c r="BM65" i="11"/>
  <c r="BL65" i="11"/>
  <c r="BM64" i="11"/>
  <c r="BL64" i="11"/>
  <c r="BM63" i="11"/>
  <c r="BL63" i="11"/>
  <c r="BM62" i="11"/>
  <c r="BL62" i="11"/>
  <c r="BM61" i="11"/>
  <c r="BL61" i="11"/>
  <c r="BM56" i="11"/>
  <c r="BL56" i="11"/>
  <c r="BM55" i="11"/>
  <c r="BL55" i="11"/>
  <c r="BM54" i="11"/>
  <c r="BL54" i="11"/>
  <c r="BM53" i="11"/>
  <c r="BL53" i="11"/>
  <c r="BM52" i="11"/>
  <c r="BL52" i="11"/>
  <c r="BM51" i="11"/>
  <c r="BL51" i="11"/>
  <c r="BM50" i="11"/>
  <c r="BL50" i="11"/>
  <c r="BM45" i="11"/>
  <c r="BL45" i="11"/>
  <c r="BM44" i="11"/>
  <c r="BL44" i="11"/>
  <c r="BM43" i="11"/>
  <c r="BL43" i="11"/>
  <c r="BM42" i="11"/>
  <c r="BL42" i="11"/>
  <c r="BM41" i="11"/>
  <c r="BL41" i="11"/>
  <c r="BM40" i="11"/>
  <c r="BL40" i="11"/>
  <c r="BM39" i="11"/>
  <c r="BL39" i="11"/>
  <c r="BM34" i="11"/>
  <c r="BM33" i="11"/>
  <c r="BM32" i="11"/>
  <c r="BM31" i="11"/>
  <c r="BM30" i="11"/>
  <c r="BM29" i="11"/>
  <c r="BM28" i="11"/>
  <c r="BM23" i="11"/>
  <c r="BL23" i="11"/>
  <c r="BM22" i="11"/>
  <c r="BL22" i="11"/>
  <c r="BM21" i="11"/>
  <c r="BL21" i="11"/>
  <c r="BM20" i="11"/>
  <c r="BL20" i="11"/>
  <c r="BM19" i="11"/>
  <c r="BL19" i="11"/>
  <c r="BM18" i="11"/>
  <c r="BL18" i="11"/>
  <c r="BM17" i="11"/>
  <c r="BL17" i="11"/>
  <c r="BM12" i="11"/>
  <c r="BL12" i="11"/>
  <c r="BM11" i="11"/>
  <c r="BL11" i="11"/>
  <c r="BM10" i="11"/>
  <c r="BL10" i="11"/>
  <c r="BM9" i="11"/>
  <c r="BL9" i="11"/>
  <c r="BM8" i="11"/>
  <c r="BL8" i="11"/>
  <c r="BM7" i="11"/>
  <c r="BL7" i="11"/>
  <c r="BM6" i="11"/>
  <c r="BL6" i="11"/>
  <c r="BK97" i="11"/>
  <c r="BJ97" i="11"/>
  <c r="BI97" i="11"/>
  <c r="BH97" i="11"/>
  <c r="BG97" i="11"/>
  <c r="BF97" i="11"/>
  <c r="BE97" i="11"/>
  <c r="BD97" i="11"/>
  <c r="BC97" i="11"/>
  <c r="BB97" i="11"/>
  <c r="BA97" i="11"/>
  <c r="AZ97" i="11"/>
  <c r="AY97" i="11"/>
  <c r="AX97" i="11"/>
  <c r="AW97" i="11"/>
  <c r="AV97" i="11"/>
  <c r="AU97" i="11"/>
  <c r="AT97" i="11"/>
  <c r="AS97" i="11"/>
  <c r="AR97" i="11"/>
  <c r="AQ97" i="11"/>
  <c r="AP97" i="11"/>
  <c r="AO97" i="11"/>
  <c r="AN97" i="11"/>
  <c r="AM97" i="11"/>
  <c r="AL97" i="11"/>
  <c r="AK97" i="11"/>
  <c r="AJ97" i="11"/>
  <c r="AI97" i="11"/>
  <c r="AH97" i="11"/>
  <c r="AG97" i="11"/>
  <c r="AF97" i="11"/>
  <c r="AE97" i="11"/>
  <c r="AD97" i="11"/>
  <c r="AC97" i="11"/>
  <c r="AB97" i="11"/>
  <c r="AA97" i="11"/>
  <c r="Z97" i="11"/>
  <c r="Y97" i="11"/>
  <c r="X97" i="11"/>
  <c r="W97" i="11"/>
  <c r="V97" i="11"/>
  <c r="U97" i="11"/>
  <c r="T97" i="11"/>
  <c r="S97" i="11"/>
  <c r="R97" i="11"/>
  <c r="Q97" i="11"/>
  <c r="P97" i="11"/>
  <c r="O97" i="11"/>
  <c r="N97" i="11"/>
  <c r="M97" i="11"/>
  <c r="L97" i="11"/>
  <c r="K97" i="11"/>
  <c r="J97" i="11"/>
  <c r="I97" i="11"/>
  <c r="H97" i="11"/>
  <c r="G97" i="11"/>
  <c r="F97" i="11"/>
  <c r="E97" i="11"/>
  <c r="D97" i="11"/>
  <c r="C97" i="11"/>
  <c r="B97" i="11"/>
  <c r="BK96" i="11"/>
  <c r="BJ96" i="11"/>
  <c r="BI96" i="11"/>
  <c r="BH96" i="11"/>
  <c r="BG96" i="11"/>
  <c r="BF96" i="11"/>
  <c r="BE96" i="11"/>
  <c r="BD96" i="11"/>
  <c r="BC96" i="11"/>
  <c r="BB96" i="11"/>
  <c r="BA96" i="11"/>
  <c r="AZ96" i="11"/>
  <c r="AY96" i="11"/>
  <c r="AX96" i="11"/>
  <c r="AW96" i="11"/>
  <c r="AV96" i="11"/>
  <c r="AU96" i="11"/>
  <c r="AT96" i="11"/>
  <c r="AS96" i="11"/>
  <c r="AR96" i="11"/>
  <c r="AQ96" i="11"/>
  <c r="AP96" i="11"/>
  <c r="AO96" i="11"/>
  <c r="AN96" i="11"/>
  <c r="AM96" i="11"/>
  <c r="AL96" i="11"/>
  <c r="AK96" i="11"/>
  <c r="AJ96" i="11"/>
  <c r="AI96" i="11"/>
  <c r="AH96" i="11"/>
  <c r="AG96" i="11"/>
  <c r="AF96" i="11"/>
  <c r="AE96" i="11"/>
  <c r="AD96" i="11"/>
  <c r="AC96" i="11"/>
  <c r="AB96" i="11"/>
  <c r="AA96" i="11"/>
  <c r="Z96" i="11"/>
  <c r="Y96" i="11"/>
  <c r="X96" i="11"/>
  <c r="W96" i="11"/>
  <c r="V96" i="11"/>
  <c r="U96" i="11"/>
  <c r="T96" i="11"/>
  <c r="S96" i="11"/>
  <c r="R96" i="11"/>
  <c r="Q96" i="11"/>
  <c r="P96" i="11"/>
  <c r="O96" i="11"/>
  <c r="N96" i="11"/>
  <c r="M96" i="11"/>
  <c r="L96" i="11"/>
  <c r="K96" i="11"/>
  <c r="J96" i="11"/>
  <c r="I96" i="11"/>
  <c r="H96" i="11"/>
  <c r="G96" i="11"/>
  <c r="F96" i="11"/>
  <c r="E96" i="11"/>
  <c r="D96" i="11"/>
  <c r="C96" i="11"/>
  <c r="B96" i="11"/>
  <c r="BK95" i="11"/>
  <c r="BJ95" i="11"/>
  <c r="BI95" i="11"/>
  <c r="BH95" i="11"/>
  <c r="BG95" i="11"/>
  <c r="BF95" i="11"/>
  <c r="BE95" i="11"/>
  <c r="BD95" i="11"/>
  <c r="BC95" i="11"/>
  <c r="BB95" i="11"/>
  <c r="BA95" i="11"/>
  <c r="AZ95" i="11"/>
  <c r="AY95" i="11"/>
  <c r="AX95" i="11"/>
  <c r="AW95" i="11"/>
  <c r="AV95" i="11"/>
  <c r="AU95" i="11"/>
  <c r="AT95" i="11"/>
  <c r="AS95" i="11"/>
  <c r="AR95" i="11"/>
  <c r="AQ95" i="11"/>
  <c r="AP95" i="11"/>
  <c r="AO95" i="11"/>
  <c r="AN95" i="11"/>
  <c r="AM95" i="11"/>
  <c r="AL95" i="11"/>
  <c r="AK95" i="11"/>
  <c r="AJ95" i="11"/>
  <c r="AI95" i="11"/>
  <c r="AH95" i="11"/>
  <c r="AG95" i="11"/>
  <c r="AF95" i="11"/>
  <c r="AE95" i="11"/>
  <c r="AD95" i="11"/>
  <c r="AC95" i="11"/>
  <c r="AB95" i="11"/>
  <c r="AA95" i="11"/>
  <c r="Z95" i="11"/>
  <c r="Y95" i="11"/>
  <c r="X95" i="11"/>
  <c r="W95" i="11"/>
  <c r="V95" i="11"/>
  <c r="U95" i="11"/>
  <c r="T95" i="11"/>
  <c r="S95" i="11"/>
  <c r="R95" i="11"/>
  <c r="Q95" i="11"/>
  <c r="P95" i="11"/>
  <c r="O95" i="11"/>
  <c r="N95" i="11"/>
  <c r="M95" i="11"/>
  <c r="L95" i="11"/>
  <c r="K95" i="11"/>
  <c r="J95" i="11"/>
  <c r="I95" i="11"/>
  <c r="H95" i="11"/>
  <c r="G95" i="11"/>
  <c r="F95" i="11"/>
  <c r="E95" i="11"/>
  <c r="D95" i="11"/>
  <c r="C95" i="11"/>
  <c r="B95" i="11"/>
  <c r="BM111" i="10"/>
  <c r="BL111" i="10"/>
  <c r="BM110" i="10"/>
  <c r="BL110" i="10"/>
  <c r="BM109" i="10"/>
  <c r="BL109" i="10"/>
  <c r="BM108" i="10"/>
  <c r="BL108" i="10"/>
  <c r="BM107" i="10"/>
  <c r="BL107" i="10"/>
  <c r="BM106" i="10"/>
  <c r="BL106" i="10"/>
  <c r="BM105" i="10"/>
  <c r="BL105" i="10"/>
  <c r="BM89" i="10"/>
  <c r="BL89" i="10"/>
  <c r="BM88" i="10"/>
  <c r="BL88" i="10"/>
  <c r="BM87" i="10"/>
  <c r="BL87" i="10"/>
  <c r="BM86" i="10"/>
  <c r="BL86" i="10"/>
  <c r="BM85" i="10"/>
  <c r="BL85" i="10"/>
  <c r="BM84" i="10"/>
  <c r="BL84" i="10"/>
  <c r="BM83" i="10"/>
  <c r="BL83" i="10"/>
  <c r="BM78" i="10"/>
  <c r="BL78" i="10"/>
  <c r="BM77" i="10"/>
  <c r="BL77" i="10"/>
  <c r="BM76" i="10"/>
  <c r="BL76" i="10"/>
  <c r="BM75" i="10"/>
  <c r="BL75" i="10"/>
  <c r="BM74" i="10"/>
  <c r="BL74" i="10"/>
  <c r="BM73" i="10"/>
  <c r="BL73" i="10"/>
  <c r="BM72" i="10"/>
  <c r="BL72" i="10"/>
  <c r="BM67" i="10"/>
  <c r="BL67" i="10"/>
  <c r="BM66" i="10"/>
  <c r="BL66" i="10"/>
  <c r="BM65" i="10"/>
  <c r="BL65" i="10"/>
  <c r="BM64" i="10"/>
  <c r="BL64" i="10"/>
  <c r="BM63" i="10"/>
  <c r="BL63" i="10"/>
  <c r="BM62" i="10"/>
  <c r="BL62" i="10"/>
  <c r="BM61" i="10"/>
  <c r="BL61" i="10"/>
  <c r="BM56" i="10"/>
  <c r="BL56" i="10"/>
  <c r="BM55" i="10"/>
  <c r="BL55" i="10"/>
  <c r="BM54" i="10"/>
  <c r="BL54" i="10"/>
  <c r="BM53" i="10"/>
  <c r="BL53" i="10"/>
  <c r="BM52" i="10"/>
  <c r="BL52" i="10"/>
  <c r="BM51" i="10"/>
  <c r="BL51" i="10"/>
  <c r="BM50" i="10"/>
  <c r="BL50" i="10"/>
  <c r="BM45" i="10"/>
  <c r="BL45" i="10"/>
  <c r="BM44" i="10"/>
  <c r="BL44" i="10"/>
  <c r="BM43" i="10"/>
  <c r="BL43" i="10"/>
  <c r="BM42" i="10"/>
  <c r="BL42" i="10"/>
  <c r="BM41" i="10"/>
  <c r="BL41" i="10"/>
  <c r="BM40" i="10"/>
  <c r="BL40" i="10"/>
  <c r="BM39" i="10"/>
  <c r="BL39" i="10"/>
  <c r="BM34" i="10"/>
  <c r="BL34" i="10"/>
  <c r="BM33" i="10"/>
  <c r="BL33" i="10"/>
  <c r="BM32" i="10"/>
  <c r="BL32" i="10"/>
  <c r="BM31" i="10"/>
  <c r="BL31" i="10"/>
  <c r="BM30" i="10"/>
  <c r="BL30" i="10"/>
  <c r="BM29" i="10"/>
  <c r="BL29" i="10"/>
  <c r="BM28" i="10"/>
  <c r="BL28" i="10"/>
  <c r="BM23" i="10"/>
  <c r="BL23" i="10"/>
  <c r="BM22" i="10"/>
  <c r="BL22" i="10"/>
  <c r="BM21" i="10"/>
  <c r="BL21" i="10"/>
  <c r="BM20" i="10"/>
  <c r="BL20" i="10"/>
  <c r="BM19" i="10"/>
  <c r="BL19" i="10"/>
  <c r="BM18" i="10"/>
  <c r="BL18" i="10"/>
  <c r="BM17" i="10"/>
  <c r="BL17" i="10"/>
  <c r="BM12" i="10"/>
  <c r="BL12" i="10"/>
  <c r="BM11" i="10"/>
  <c r="BL11" i="10"/>
  <c r="BM10" i="10"/>
  <c r="BL10" i="10"/>
  <c r="BM9" i="10"/>
  <c r="BL9" i="10"/>
  <c r="BM8" i="10"/>
  <c r="BL8" i="10"/>
  <c r="BM7" i="10"/>
  <c r="BL7" i="10"/>
  <c r="BM6" i="10"/>
  <c r="BL6" i="10"/>
  <c r="BM111" i="9"/>
  <c r="BL111" i="9"/>
  <c r="BM110" i="9"/>
  <c r="BL110" i="9"/>
  <c r="BM109" i="9"/>
  <c r="BL109" i="9"/>
  <c r="BM108" i="9"/>
  <c r="BL108" i="9"/>
  <c r="BM107" i="9"/>
  <c r="BL107" i="9"/>
  <c r="BM106" i="9"/>
  <c r="BL106" i="9"/>
  <c r="BM105" i="9"/>
  <c r="BL105" i="9"/>
  <c r="BM89" i="9"/>
  <c r="BL89" i="9"/>
  <c r="BM88" i="9"/>
  <c r="BL88" i="9"/>
  <c r="BM87" i="9"/>
  <c r="BL87" i="9"/>
  <c r="BM86" i="9"/>
  <c r="BL86" i="9"/>
  <c r="BM85" i="9"/>
  <c r="BL85" i="9"/>
  <c r="BM84" i="9"/>
  <c r="BL84" i="9"/>
  <c r="BM83" i="9"/>
  <c r="BL83" i="9"/>
  <c r="BM78" i="9"/>
  <c r="BL78" i="9"/>
  <c r="BM77" i="9"/>
  <c r="BL77" i="9"/>
  <c r="BM76" i="9"/>
  <c r="BL76" i="9"/>
  <c r="BM75" i="9"/>
  <c r="BL75" i="9"/>
  <c r="BM74" i="9"/>
  <c r="BL74" i="9"/>
  <c r="BM73" i="9"/>
  <c r="BL73" i="9"/>
  <c r="BM72" i="9"/>
  <c r="BL72" i="9"/>
  <c r="BM67" i="9"/>
  <c r="BL67" i="9"/>
  <c r="BM66" i="9"/>
  <c r="BL66" i="9"/>
  <c r="BM65" i="9"/>
  <c r="BL65" i="9"/>
  <c r="BM64" i="9"/>
  <c r="BL64" i="9"/>
  <c r="BM63" i="9"/>
  <c r="BL63" i="9"/>
  <c r="BM62" i="9"/>
  <c r="BL62" i="9"/>
  <c r="BM61" i="9"/>
  <c r="BL61" i="9"/>
  <c r="BM56" i="9"/>
  <c r="BL56" i="9"/>
  <c r="BM55" i="9"/>
  <c r="BL55" i="9"/>
  <c r="BM54" i="9"/>
  <c r="BL54" i="9"/>
  <c r="BM53" i="9"/>
  <c r="BL53" i="9"/>
  <c r="BM52" i="9"/>
  <c r="BL52" i="9"/>
  <c r="BM51" i="9"/>
  <c r="BL51" i="9"/>
  <c r="BM50" i="9"/>
  <c r="BL50" i="9"/>
  <c r="BM45" i="9"/>
  <c r="BL45" i="9"/>
  <c r="BM44" i="9"/>
  <c r="BL44" i="9"/>
  <c r="BM43" i="9"/>
  <c r="BL43" i="9"/>
  <c r="BM42" i="9"/>
  <c r="BL42" i="9"/>
  <c r="BM41" i="9"/>
  <c r="BL41" i="9"/>
  <c r="BM40" i="9"/>
  <c r="BL40" i="9"/>
  <c r="BM39" i="9"/>
  <c r="BL39" i="9"/>
  <c r="BM34" i="9"/>
  <c r="BL34" i="9"/>
  <c r="BM33" i="9"/>
  <c r="BL33" i="9"/>
  <c r="BM32" i="9"/>
  <c r="BL32" i="9"/>
  <c r="BM31" i="9"/>
  <c r="BL31" i="9"/>
  <c r="BM30" i="9"/>
  <c r="BL30" i="9"/>
  <c r="BM29" i="9"/>
  <c r="BL29" i="9"/>
  <c r="BM28" i="9"/>
  <c r="BL28" i="9"/>
  <c r="BM23" i="9"/>
  <c r="BL23" i="9"/>
  <c r="BM22" i="9"/>
  <c r="BL22" i="9"/>
  <c r="BM21" i="9"/>
  <c r="BL21" i="9"/>
  <c r="BM20" i="9"/>
  <c r="BL20" i="9"/>
  <c r="BM19" i="9"/>
  <c r="BL19" i="9"/>
  <c r="BM18" i="9"/>
  <c r="BL18" i="9"/>
  <c r="BM17" i="9"/>
  <c r="BL17" i="9"/>
  <c r="BM12" i="9"/>
  <c r="BL12" i="9"/>
  <c r="BM11" i="9"/>
  <c r="BL11" i="9"/>
  <c r="BM10" i="9"/>
  <c r="BL10" i="9"/>
  <c r="BM9" i="9"/>
  <c r="BL9" i="9"/>
  <c r="BM8" i="9"/>
  <c r="BL8" i="9"/>
  <c r="BM7" i="9"/>
  <c r="BL7" i="9"/>
  <c r="BM6" i="9"/>
  <c r="BL6" i="9"/>
  <c r="BK98" i="9"/>
  <c r="BJ98" i="9"/>
  <c r="BI98" i="9"/>
  <c r="BH98" i="9"/>
  <c r="BG98" i="9"/>
  <c r="BF98" i="9"/>
  <c r="BE98" i="9"/>
  <c r="BD98" i="9"/>
  <c r="BC98" i="9"/>
  <c r="BB98" i="9"/>
  <c r="BA98" i="9"/>
  <c r="AZ98" i="9"/>
  <c r="AY98" i="9"/>
  <c r="AX98" i="9"/>
  <c r="AW98" i="9"/>
  <c r="AV98" i="9"/>
  <c r="AU98" i="9"/>
  <c r="AT98" i="9"/>
  <c r="AS98" i="9"/>
  <c r="AR98" i="9"/>
  <c r="AQ98" i="9"/>
  <c r="AP98" i="9"/>
  <c r="AO98" i="9"/>
  <c r="AN98" i="9"/>
  <c r="AM98" i="9"/>
  <c r="AL98" i="9"/>
  <c r="AK98" i="9"/>
  <c r="AJ98" i="9"/>
  <c r="AI98" i="9"/>
  <c r="AH98" i="9"/>
  <c r="AG98" i="9"/>
  <c r="AF98" i="9"/>
  <c r="AE98" i="9"/>
  <c r="AD98" i="9"/>
  <c r="AC98" i="9"/>
  <c r="AB98" i="9"/>
  <c r="AA98" i="9"/>
  <c r="Z98" i="9"/>
  <c r="Y98" i="9"/>
  <c r="X98" i="9"/>
  <c r="W98" i="9"/>
  <c r="V98" i="9"/>
  <c r="U98" i="9"/>
  <c r="T98" i="9"/>
  <c r="S98" i="9"/>
  <c r="R98" i="9"/>
  <c r="Q98" i="9"/>
  <c r="P98" i="9"/>
  <c r="O98" i="9"/>
  <c r="N98" i="9"/>
  <c r="M98" i="9"/>
  <c r="L98" i="9"/>
  <c r="K98" i="9"/>
  <c r="J98" i="9"/>
  <c r="I98" i="9"/>
  <c r="H98" i="9"/>
  <c r="G98" i="9"/>
  <c r="F98" i="9"/>
  <c r="E98" i="9"/>
  <c r="D98" i="9"/>
  <c r="C98" i="9"/>
  <c r="B98" i="9"/>
  <c r="AB9" i="13"/>
  <c r="AA9" i="13"/>
  <c r="Z9" i="13"/>
  <c r="Y9" i="13"/>
  <c r="X9" i="13"/>
  <c r="W9" i="13"/>
  <c r="V9" i="13"/>
  <c r="U9" i="13"/>
  <c r="T9" i="13"/>
  <c r="R9" i="13"/>
  <c r="Q9" i="13"/>
  <c r="P9" i="13"/>
  <c r="O9" i="13"/>
  <c r="N9" i="13"/>
  <c r="M9" i="13"/>
  <c r="K9" i="13"/>
  <c r="J9" i="13"/>
  <c r="I9" i="13"/>
  <c r="H9" i="13"/>
  <c r="G9" i="13"/>
  <c r="F9" i="13"/>
  <c r="E9" i="13"/>
  <c r="D9" i="13"/>
  <c r="C9" i="13"/>
  <c r="B9" i="13"/>
  <c r="S6" i="13"/>
  <c r="S9" i="13" s="1"/>
  <c r="L6" i="13"/>
  <c r="L9" i="13" s="1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B19" i="16"/>
  <c r="AA19" i="16"/>
  <c r="Z19" i="16"/>
  <c r="Y19" i="16"/>
  <c r="X19" i="16"/>
  <c r="W19" i="16"/>
  <c r="V19" i="16"/>
  <c r="U19" i="16"/>
  <c r="T19" i="16"/>
  <c r="S19" i="16"/>
  <c r="R19" i="16"/>
  <c r="Q19" i="16"/>
  <c r="P19" i="16"/>
  <c r="O19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B19" i="16"/>
  <c r="AB15" i="16"/>
  <c r="AA15" i="16"/>
  <c r="Z15" i="16"/>
  <c r="Y15" i="16"/>
  <c r="X15" i="16"/>
  <c r="W15" i="16"/>
  <c r="V15" i="16"/>
  <c r="U15" i="16"/>
  <c r="T15" i="16"/>
  <c r="S15" i="16"/>
  <c r="R15" i="16"/>
  <c r="Q15" i="16"/>
  <c r="P15" i="16"/>
  <c r="O15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B15" i="16"/>
  <c r="S11" i="16"/>
  <c r="AB15" i="17"/>
  <c r="AA15" i="17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Z9" i="17"/>
  <c r="Z15" i="17" s="1"/>
  <c r="DE15" i="6"/>
  <c r="DD15" i="6"/>
  <c r="DC15" i="6"/>
  <c r="DB15" i="6"/>
  <c r="DE12" i="6"/>
  <c r="DD12" i="6"/>
  <c r="DC12" i="6"/>
  <c r="DB12" i="6"/>
  <c r="CW15" i="6"/>
  <c r="CV15" i="6"/>
  <c r="CU15" i="6"/>
  <c r="CT15" i="6"/>
  <c r="CS15" i="6"/>
  <c r="CR15" i="6"/>
  <c r="CQ15" i="6"/>
  <c r="CP15" i="6"/>
  <c r="CO15" i="6"/>
  <c r="CN15" i="6"/>
  <c r="CM15" i="6"/>
  <c r="CL15" i="6"/>
  <c r="CK15" i="6"/>
  <c r="CJ15" i="6"/>
  <c r="CI15" i="6"/>
  <c r="CH15" i="6"/>
  <c r="CG15" i="6"/>
  <c r="CF15" i="6"/>
  <c r="CE15" i="6"/>
  <c r="CD15" i="6"/>
  <c r="CC15" i="6"/>
  <c r="CB15" i="6"/>
  <c r="CA15" i="6"/>
  <c r="BZ15" i="6"/>
  <c r="BY15" i="6"/>
  <c r="BX15" i="6"/>
  <c r="BW15" i="6"/>
  <c r="BV15" i="6"/>
  <c r="BU15" i="6"/>
  <c r="BT15" i="6"/>
  <c r="BS15" i="6"/>
  <c r="BR15" i="6"/>
  <c r="BQ15" i="6"/>
  <c r="BP15" i="6"/>
  <c r="BO15" i="6"/>
  <c r="BN15" i="6"/>
  <c r="BM15" i="6"/>
  <c r="BL15" i="6"/>
  <c r="BK15" i="6"/>
  <c r="BJ15" i="6"/>
  <c r="BI15" i="6"/>
  <c r="BH15" i="6"/>
  <c r="BG15" i="6"/>
  <c r="BF15" i="6"/>
  <c r="BE15" i="6"/>
  <c r="BD15" i="6"/>
  <c r="BC15" i="6"/>
  <c r="BB15" i="6"/>
  <c r="BA15" i="6"/>
  <c r="AZ15" i="6"/>
  <c r="AY15" i="6"/>
  <c r="AX15" i="6"/>
  <c r="AW15" i="6"/>
  <c r="AV15" i="6"/>
  <c r="AU15" i="6"/>
  <c r="AT15" i="6"/>
  <c r="AS15" i="6"/>
  <c r="AR15" i="6"/>
  <c r="AQ15" i="6"/>
  <c r="AP15" i="6"/>
  <c r="AO15" i="6"/>
  <c r="AN15" i="6"/>
  <c r="AM15" i="6"/>
  <c r="AL15" i="6"/>
  <c r="AK15" i="6"/>
  <c r="AJ15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CW12" i="6"/>
  <c r="CV12" i="6"/>
  <c r="CU12" i="6"/>
  <c r="CT12" i="6"/>
  <c r="CS12" i="6"/>
  <c r="CR12" i="6"/>
  <c r="CQ12" i="6"/>
  <c r="CP12" i="6"/>
  <c r="CO12" i="6"/>
  <c r="CN12" i="6"/>
  <c r="CM12" i="6"/>
  <c r="CL12" i="6"/>
  <c r="CG12" i="6"/>
  <c r="CF12" i="6"/>
  <c r="CE12" i="6"/>
  <c r="CD12" i="6"/>
  <c r="CC12" i="6"/>
  <c r="CB12" i="6"/>
  <c r="CA12" i="6"/>
  <c r="BZ12" i="6"/>
  <c r="BY12" i="6"/>
  <c r="BX12" i="6"/>
  <c r="BW12" i="6"/>
  <c r="BV12" i="6"/>
  <c r="BU12" i="6"/>
  <c r="BT12" i="6"/>
  <c r="BS12" i="6"/>
  <c r="BR12" i="6"/>
  <c r="BQ12" i="6"/>
  <c r="BP12" i="6"/>
  <c r="BO12" i="6"/>
  <c r="BN12" i="6"/>
  <c r="BM12" i="6"/>
  <c r="BL12" i="6"/>
  <c r="BK12" i="6"/>
  <c r="BJ12" i="6"/>
  <c r="BI12" i="6"/>
  <c r="BH12" i="6"/>
  <c r="BG12" i="6"/>
  <c r="BF12" i="6"/>
  <c r="BE12" i="6"/>
  <c r="BD12" i="6"/>
  <c r="BC12" i="6"/>
  <c r="BB12" i="6"/>
  <c r="BA12" i="6"/>
  <c r="AZ12" i="6"/>
  <c r="AY12" i="6"/>
  <c r="AX12" i="6"/>
  <c r="AV12" i="6"/>
  <c r="AS12" i="6"/>
  <c r="AR12" i="6"/>
  <c r="AQ12" i="6"/>
  <c r="AP12" i="6"/>
  <c r="AO12" i="6"/>
  <c r="AN12" i="6"/>
  <c r="AM12" i="6"/>
  <c r="AL12" i="6"/>
  <c r="AK12" i="6"/>
  <c r="AJ12" i="6"/>
  <c r="AI12" i="6"/>
  <c r="AH12" i="6"/>
  <c r="AG12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CK11" i="6"/>
  <c r="CK12" i="6" s="1"/>
  <c r="CJ11" i="6"/>
  <c r="CJ12" i="6" s="1"/>
  <c r="CI11" i="6"/>
  <c r="CI12" i="6" s="1"/>
  <c r="CH11" i="6"/>
  <c r="CH12" i="6" s="1"/>
  <c r="AW11" i="6"/>
  <c r="AW12" i="6" s="1"/>
  <c r="AV11" i="6"/>
  <c r="AU11" i="6"/>
  <c r="AU12" i="6" s="1"/>
  <c r="AT11" i="6"/>
  <c r="AT12" i="6" s="1"/>
  <c r="BM95" i="11" l="1"/>
  <c r="BL97" i="11"/>
  <c r="BL95" i="11"/>
  <c r="BM96" i="11"/>
  <c r="BL96" i="11"/>
  <c r="BM98" i="9"/>
  <c r="BL98" i="9"/>
  <c r="BM97" i="11"/>
  <c r="BM15" i="12"/>
  <c r="BL15" i="12"/>
  <c r="EY17" i="2"/>
  <c r="EX17" i="2"/>
  <c r="EW17" i="2"/>
  <c r="EV17" i="2"/>
  <c r="EU17" i="2"/>
  <c r="ET17" i="2"/>
  <c r="ES17" i="2"/>
  <c r="ER17" i="2"/>
  <c r="EQ17" i="2"/>
  <c r="EP17" i="2"/>
  <c r="EP18" i="2" s="1"/>
  <c r="EO17" i="2"/>
  <c r="EN17" i="2"/>
  <c r="EM17" i="2"/>
  <c r="EL17" i="2"/>
  <c r="EK17" i="2"/>
  <c r="EJ17" i="2"/>
  <c r="EI17" i="2"/>
  <c r="EH17" i="2"/>
  <c r="EG17" i="2"/>
  <c r="EF17" i="2"/>
  <c r="EE17" i="2"/>
  <c r="ED17" i="2"/>
  <c r="EC17" i="2"/>
  <c r="EB17" i="2"/>
  <c r="EA17" i="2"/>
  <c r="DZ17" i="2"/>
  <c r="DY17" i="2"/>
  <c r="DY18" i="2" s="1"/>
  <c r="DX17" i="2"/>
  <c r="DW17" i="2"/>
  <c r="DV17" i="2"/>
  <c r="DU17" i="2"/>
  <c r="DT17" i="2"/>
  <c r="DT18" i="2" s="1"/>
  <c r="DS17" i="2"/>
  <c r="DR17" i="2"/>
  <c r="DQ17" i="2"/>
  <c r="DP17" i="2"/>
  <c r="DO17" i="2"/>
  <c r="DN17" i="2"/>
  <c r="DM17" i="2"/>
  <c r="DM18" i="2" s="1"/>
  <c r="DL17" i="2"/>
  <c r="DL18" i="2" s="1"/>
  <c r="DK17" i="2"/>
  <c r="DJ17" i="2"/>
  <c r="DI17" i="2"/>
  <c r="DH17" i="2"/>
  <c r="DG17" i="2"/>
  <c r="DF17" i="2"/>
  <c r="DE17" i="2"/>
  <c r="DD17" i="2"/>
  <c r="DC17" i="2"/>
  <c r="DB17" i="2"/>
  <c r="DA17" i="2"/>
  <c r="CZ17" i="2"/>
  <c r="CY17" i="2"/>
  <c r="CX17" i="2"/>
  <c r="CW17" i="2"/>
  <c r="CW18" i="2" s="1"/>
  <c r="CV17" i="2"/>
  <c r="CV18" i="2" s="1"/>
  <c r="CU17" i="2"/>
  <c r="CT17" i="2"/>
  <c r="CT18" i="2" s="1"/>
  <c r="CS17" i="2"/>
  <c r="CR17" i="2"/>
  <c r="CQ17" i="2"/>
  <c r="CP17" i="2"/>
  <c r="CO17" i="2"/>
  <c r="CN17" i="2"/>
  <c r="CM17" i="2"/>
  <c r="CL17" i="2"/>
  <c r="CK17" i="2"/>
  <c r="CJ17" i="2"/>
  <c r="CI17" i="2"/>
  <c r="CH17" i="2"/>
  <c r="CG17" i="2"/>
  <c r="CG18" i="2" s="1"/>
  <c r="CF17" i="2"/>
  <c r="CF18" i="2" s="1"/>
  <c r="CE17" i="2"/>
  <c r="CD17" i="2"/>
  <c r="CD18" i="2" s="1"/>
  <c r="CC17" i="2"/>
  <c r="CB17" i="2"/>
  <c r="CB18" i="2" s="1"/>
  <c r="CA17" i="2"/>
  <c r="BZ17" i="2"/>
  <c r="BY17" i="2"/>
  <c r="BX17" i="2"/>
  <c r="BW17" i="2"/>
  <c r="BV17" i="2"/>
  <c r="BU17" i="2"/>
  <c r="BT17" i="2"/>
  <c r="BS17" i="2"/>
  <c r="BR17" i="2"/>
  <c r="BQ17" i="2"/>
  <c r="BQ18" i="2" s="1"/>
  <c r="BP17" i="2"/>
  <c r="BP18" i="2" s="1"/>
  <c r="BO17" i="2"/>
  <c r="BN17" i="2"/>
  <c r="BM17" i="2"/>
  <c r="BL17" i="2"/>
  <c r="BK17" i="2"/>
  <c r="BJ17" i="2"/>
  <c r="BI17" i="2"/>
  <c r="BI18" i="2" s="1"/>
  <c r="BH17" i="2"/>
  <c r="BH18" i="2" s="1"/>
  <c r="BG17" i="2"/>
  <c r="BF17" i="2"/>
  <c r="BE17" i="2"/>
  <c r="BD17" i="2"/>
  <c r="BC17" i="2"/>
  <c r="BB17" i="2"/>
  <c r="BA17" i="2"/>
  <c r="AZ17" i="2"/>
  <c r="AZ18" i="2" s="1"/>
  <c r="AY17" i="2"/>
  <c r="AX17" i="2"/>
  <c r="AX18" i="2" s="1"/>
  <c r="AW17" i="2"/>
  <c r="AV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G18" i="2" s="1"/>
  <c r="AF17" i="2"/>
  <c r="AE17" i="2"/>
  <c r="AD17" i="2"/>
  <c r="AC17" i="2"/>
  <c r="AC18" i="2" s="1"/>
  <c r="AB17" i="2"/>
  <c r="AB18" i="2" s="1"/>
  <c r="AA17" i="2"/>
  <c r="Z17" i="2"/>
  <c r="Y17" i="2"/>
  <c r="X17" i="2"/>
  <c r="W17" i="2"/>
  <c r="V17" i="2"/>
  <c r="U17" i="2"/>
  <c r="U18" i="2" s="1"/>
  <c r="T17" i="2"/>
  <c r="S17" i="2"/>
  <c r="R17" i="2"/>
  <c r="Q17" i="2"/>
  <c r="P17" i="2"/>
  <c r="P18" i="2" s="1"/>
  <c r="O17" i="2"/>
  <c r="N17" i="2"/>
  <c r="M17" i="2"/>
  <c r="L17" i="2"/>
  <c r="K17" i="2"/>
  <c r="J17" i="2"/>
  <c r="I17" i="2"/>
  <c r="H17" i="2"/>
  <c r="H18" i="2" s="1"/>
  <c r="G17" i="2"/>
  <c r="F17" i="2"/>
  <c r="E17" i="2"/>
  <c r="E18" i="2" s="1"/>
  <c r="D17" i="2"/>
  <c r="D18" i="2" s="1"/>
  <c r="C17" i="2"/>
  <c r="B17" i="2"/>
  <c r="EZ17" i="2"/>
  <c r="EZ11" i="2"/>
  <c r="EY11" i="2"/>
  <c r="EY18" i="2" s="1"/>
  <c r="EX11" i="2"/>
  <c r="EX18" i="2" s="1"/>
  <c r="EW11" i="2"/>
  <c r="EV11" i="2"/>
  <c r="EU11" i="2"/>
  <c r="ET11" i="2"/>
  <c r="ES11" i="2"/>
  <c r="ER11" i="2"/>
  <c r="EQ11" i="2"/>
  <c r="EQ18" i="2" s="1"/>
  <c r="EP11" i="2"/>
  <c r="EO11" i="2"/>
  <c r="EN11" i="2"/>
  <c r="EN18" i="2" s="1"/>
  <c r="EM11" i="2"/>
  <c r="EL11" i="2"/>
  <c r="EK11" i="2"/>
  <c r="EK18" i="2" s="1"/>
  <c r="EJ11" i="2"/>
  <c r="EJ18" i="2" s="1"/>
  <c r="EI11" i="2"/>
  <c r="EI18" i="2" s="1"/>
  <c r="EH11" i="2"/>
  <c r="EG11" i="2"/>
  <c r="EG18" i="2" s="1"/>
  <c r="EF11" i="2"/>
  <c r="EF18" i="2" s="1"/>
  <c r="EE11" i="2"/>
  <c r="ED11" i="2"/>
  <c r="EC11" i="2"/>
  <c r="EB11" i="2"/>
  <c r="EA11" i="2"/>
  <c r="EA18" i="2" s="1"/>
  <c r="DZ11" i="2"/>
  <c r="DY11" i="2"/>
  <c r="DX11" i="2"/>
  <c r="DW11" i="2"/>
  <c r="DV11" i="2"/>
  <c r="DV18" i="2" s="1"/>
  <c r="DU11" i="2"/>
  <c r="DT11" i="2"/>
  <c r="DS11" i="2"/>
  <c r="DR11" i="2"/>
  <c r="DR18" i="2" s="1"/>
  <c r="DQ11" i="2"/>
  <c r="DQ18" i="2" s="1"/>
  <c r="DP11" i="2"/>
  <c r="DP18" i="2" s="1"/>
  <c r="DO11" i="2"/>
  <c r="DN11" i="2"/>
  <c r="DM11" i="2"/>
  <c r="DL11" i="2"/>
  <c r="DK11" i="2"/>
  <c r="DJ11" i="2"/>
  <c r="DI11" i="2"/>
  <c r="DI18" i="2" s="1"/>
  <c r="DH11" i="2"/>
  <c r="DH18" i="2" s="1"/>
  <c r="DG11" i="2"/>
  <c r="DF11" i="2"/>
  <c r="DE11" i="2"/>
  <c r="DD11" i="2"/>
  <c r="DC11" i="2"/>
  <c r="DB11" i="2"/>
  <c r="DA11" i="2"/>
  <c r="CZ11" i="2"/>
  <c r="CZ18" i="2" s="1"/>
  <c r="CY11" i="2"/>
  <c r="CX11" i="2"/>
  <c r="CW11" i="2"/>
  <c r="CV11" i="2"/>
  <c r="CU11" i="2"/>
  <c r="CU18" i="2" s="1"/>
  <c r="CT11" i="2"/>
  <c r="CS11" i="2"/>
  <c r="CS18" i="2" s="1"/>
  <c r="CR11" i="2"/>
  <c r="CQ11" i="2"/>
  <c r="CP11" i="2"/>
  <c r="CO11" i="2"/>
  <c r="CN11" i="2"/>
  <c r="CM11" i="2"/>
  <c r="CM18" i="2" s="1"/>
  <c r="CL11" i="2"/>
  <c r="CK11" i="2"/>
  <c r="CJ11" i="2"/>
  <c r="CI11" i="2"/>
  <c r="CI18" i="2" s="1"/>
  <c r="CH11" i="2"/>
  <c r="CG11" i="2"/>
  <c r="CF11" i="2"/>
  <c r="CE11" i="2"/>
  <c r="CE18" i="2" s="1"/>
  <c r="CD11" i="2"/>
  <c r="CC11" i="2"/>
  <c r="CC18" i="2" s="1"/>
  <c r="CB11" i="2"/>
  <c r="CA11" i="2"/>
  <c r="BZ11" i="2"/>
  <c r="BY11" i="2"/>
  <c r="BX11" i="2"/>
  <c r="BW11" i="2"/>
  <c r="BW18" i="2" s="1"/>
  <c r="BV11" i="2"/>
  <c r="BV18" i="2" s="1"/>
  <c r="BU11" i="2"/>
  <c r="BT11" i="2"/>
  <c r="BT18" i="2" s="1"/>
  <c r="BS11" i="2"/>
  <c r="BR11" i="2"/>
  <c r="BQ11" i="2"/>
  <c r="BP11" i="2"/>
  <c r="BO11" i="2"/>
  <c r="BO18" i="2" s="1"/>
  <c r="BN11" i="2"/>
  <c r="BM11" i="2"/>
  <c r="BL11" i="2"/>
  <c r="BK11" i="2"/>
  <c r="BK18" i="2" s="1"/>
  <c r="BJ11" i="2"/>
  <c r="BJ18" i="2" s="1"/>
  <c r="BI11" i="2"/>
  <c r="BH11" i="2"/>
  <c r="BG11" i="2"/>
  <c r="BG18" i="2" s="1"/>
  <c r="BF11" i="2"/>
  <c r="BE11" i="2"/>
  <c r="BE18" i="2" s="1"/>
  <c r="BD11" i="2"/>
  <c r="BC11" i="2"/>
  <c r="BB11" i="2"/>
  <c r="BA11" i="2"/>
  <c r="AZ11" i="2"/>
  <c r="AY11" i="2"/>
  <c r="AY18" i="2" s="1"/>
  <c r="AX11" i="2"/>
  <c r="AW11" i="2"/>
  <c r="AV11" i="2"/>
  <c r="AV18" i="2" s="1"/>
  <c r="AU11" i="2"/>
  <c r="AT11" i="2"/>
  <c r="AS11" i="2"/>
  <c r="AR11" i="2"/>
  <c r="AQ11" i="2"/>
  <c r="AP11" i="2"/>
  <c r="AP18" i="2" s="1"/>
  <c r="AO11" i="2"/>
  <c r="AN11" i="2"/>
  <c r="AM11" i="2"/>
  <c r="AL11" i="2"/>
  <c r="AK11" i="2"/>
  <c r="AJ11" i="2"/>
  <c r="AI11" i="2"/>
  <c r="AI18" i="2" s="1"/>
  <c r="AH11" i="2"/>
  <c r="AG11" i="2"/>
  <c r="AF11" i="2"/>
  <c r="AF18" i="2" s="1"/>
  <c r="AE11" i="2"/>
  <c r="AD11" i="2"/>
  <c r="AD18" i="2" s="1"/>
  <c r="AC11" i="2"/>
  <c r="AB11" i="2"/>
  <c r="AA11" i="2"/>
  <c r="AA18" i="2" s="1"/>
  <c r="Z11" i="2"/>
  <c r="Z18" i="2" s="1"/>
  <c r="Y11" i="2"/>
  <c r="X11" i="2"/>
  <c r="X18" i="2" s="1"/>
  <c r="W11" i="2"/>
  <c r="W18" i="2" s="1"/>
  <c r="V11" i="2"/>
  <c r="V18" i="2" s="1"/>
  <c r="U11" i="2"/>
  <c r="T11" i="2"/>
  <c r="S11" i="2"/>
  <c r="R11" i="2"/>
  <c r="Q11" i="2"/>
  <c r="Q18" i="2" s="1"/>
  <c r="P11" i="2"/>
  <c r="O11" i="2"/>
  <c r="N11" i="2"/>
  <c r="M11" i="2"/>
  <c r="L11" i="2"/>
  <c r="L18" i="2" s="1"/>
  <c r="K11" i="2"/>
  <c r="K18" i="2" s="1"/>
  <c r="J11" i="2"/>
  <c r="I11" i="2"/>
  <c r="H11" i="2"/>
  <c r="G11" i="2"/>
  <c r="F11" i="2"/>
  <c r="F18" i="2" s="1"/>
  <c r="E11" i="2"/>
  <c r="D11" i="2"/>
  <c r="C11" i="2"/>
  <c r="B11" i="2"/>
  <c r="EH18" i="2"/>
  <c r="DZ18" i="2"/>
  <c r="DX18" i="2"/>
  <c r="DJ18" i="2"/>
  <c r="DB18" i="2"/>
  <c r="DA18" i="2"/>
  <c r="CL18" i="2"/>
  <c r="CK18" i="2"/>
  <c r="CJ18" i="2"/>
  <c r="BY18" i="2"/>
  <c r="BX18" i="2"/>
  <c r="BU18" i="2"/>
  <c r="BN18" i="2"/>
  <c r="BM18" i="2"/>
  <c r="BL18" i="2"/>
  <c r="BF18" i="2"/>
  <c r="AW18" i="2"/>
  <c r="AN18" i="2"/>
  <c r="Y18" i="2"/>
  <c r="R18" i="2"/>
  <c r="J18" i="2"/>
  <c r="I18" i="2"/>
  <c r="Z48" i="20"/>
  <c r="Z47" i="20"/>
  <c r="Z46" i="20"/>
  <c r="Z45" i="20"/>
  <c r="S48" i="20"/>
  <c r="S47" i="20"/>
  <c r="S46" i="20"/>
  <c r="S45" i="20"/>
  <c r="B48" i="20"/>
  <c r="B46" i="20"/>
  <c r="B45" i="20"/>
  <c r="EU18" i="2" l="1"/>
  <c r="ET18" i="2"/>
  <c r="ES18" i="2"/>
  <c r="ER18" i="2"/>
  <c r="EO18" i="2"/>
  <c r="EM18" i="2"/>
  <c r="EL18" i="2"/>
  <c r="CR18" i="2"/>
  <c r="CQ18" i="2"/>
  <c r="CP18" i="2"/>
  <c r="CO18" i="2"/>
  <c r="CN18" i="2"/>
  <c r="DW18" i="2"/>
  <c r="AU18" i="2"/>
  <c r="AO18" i="2"/>
  <c r="AM18" i="2"/>
  <c r="AL18" i="2"/>
  <c r="AK18" i="2"/>
  <c r="AH18" i="2"/>
  <c r="AJ18" i="2"/>
  <c r="EW18" i="2"/>
  <c r="EV18" i="2"/>
  <c r="EZ18" i="2"/>
  <c r="AT18" i="2"/>
  <c r="AS18" i="2"/>
  <c r="AR18" i="2"/>
  <c r="AQ18" i="2"/>
  <c r="AE18" i="2"/>
  <c r="O18" i="2"/>
  <c r="N18" i="2"/>
  <c r="M18" i="2"/>
  <c r="G18" i="2"/>
  <c r="DS18" i="2"/>
  <c r="DU18" i="2"/>
  <c r="DG18" i="2"/>
  <c r="DF18" i="2"/>
  <c r="DC18" i="2"/>
  <c r="DE18" i="2"/>
  <c r="DD18" i="2"/>
  <c r="CA18" i="2"/>
  <c r="BZ18" i="2"/>
  <c r="CH18" i="2"/>
  <c r="C18" i="2"/>
  <c r="B18" i="2"/>
  <c r="EE18" i="2"/>
  <c r="ED18" i="2"/>
  <c r="EC18" i="2"/>
  <c r="EB18" i="2"/>
  <c r="DO18" i="2"/>
  <c r="DN18" i="2"/>
  <c r="DK18" i="2"/>
  <c r="CY18" i="2"/>
  <c r="CX18" i="2"/>
  <c r="BS18" i="2"/>
  <c r="BR18" i="2"/>
  <c r="BD18" i="2"/>
  <c r="BC18" i="2"/>
  <c r="BB18" i="2"/>
  <c r="BA18" i="2"/>
  <c r="T18" i="2"/>
  <c r="S18" i="2"/>
  <c r="Y48" i="20"/>
  <c r="Y47" i="20"/>
  <c r="Y46" i="20"/>
  <c r="Y45" i="20"/>
  <c r="V48" i="20"/>
  <c r="V88" i="20" s="1"/>
  <c r="V47" i="20"/>
  <c r="V46" i="20"/>
  <c r="V45" i="20"/>
  <c r="L48" i="20"/>
  <c r="L47" i="20"/>
  <c r="L46" i="20"/>
  <c r="L45" i="20"/>
  <c r="O48" i="20"/>
  <c r="O47" i="20"/>
  <c r="O46" i="20"/>
  <c r="O45" i="20"/>
  <c r="AF89" i="20"/>
  <c r="AE89" i="20"/>
  <c r="AD89" i="20"/>
  <c r="AC89" i="20"/>
  <c r="AB89" i="20"/>
  <c r="AA89" i="20"/>
  <c r="Z89" i="20"/>
  <c r="Y89" i="20"/>
  <c r="X89" i="20"/>
  <c r="W89" i="20"/>
  <c r="V89" i="20"/>
  <c r="U89" i="20"/>
  <c r="T89" i="20"/>
  <c r="S89" i="20"/>
  <c r="R89" i="20"/>
  <c r="Q89" i="20"/>
  <c r="P89" i="20"/>
  <c r="O89" i="20"/>
  <c r="N89" i="20"/>
  <c r="M89" i="20"/>
  <c r="AF88" i="20"/>
  <c r="AE88" i="20"/>
  <c r="AD88" i="20"/>
  <c r="AC88" i="20"/>
  <c r="AB88" i="20"/>
  <c r="AA88" i="20"/>
  <c r="Z88" i="20"/>
  <c r="Y88" i="20"/>
  <c r="X88" i="20"/>
  <c r="W88" i="20"/>
  <c r="U88" i="20"/>
  <c r="T88" i="20"/>
  <c r="S88" i="20"/>
  <c r="R88" i="20"/>
  <c r="Q88" i="20"/>
  <c r="P88" i="20"/>
  <c r="O88" i="20"/>
  <c r="N88" i="20"/>
  <c r="M88" i="20"/>
  <c r="AF87" i="20"/>
  <c r="AE87" i="20"/>
  <c r="AD87" i="20"/>
  <c r="AC87" i="20"/>
  <c r="AB87" i="20"/>
  <c r="AA87" i="20"/>
  <c r="Z87" i="20"/>
  <c r="Y87" i="20"/>
  <c r="X87" i="20"/>
  <c r="W87" i="20"/>
  <c r="V87" i="20"/>
  <c r="U87" i="20"/>
  <c r="T87" i="20"/>
  <c r="S87" i="20"/>
  <c r="R87" i="20"/>
  <c r="Q87" i="20"/>
  <c r="P87" i="20"/>
  <c r="O87" i="20"/>
  <c r="N87" i="20"/>
  <c r="M87" i="20"/>
  <c r="AF86" i="20"/>
  <c r="AE86" i="20"/>
  <c r="AD86" i="20"/>
  <c r="AC86" i="20"/>
  <c r="AB86" i="20"/>
  <c r="AA86" i="20"/>
  <c r="Z86" i="20"/>
  <c r="Y86" i="20"/>
  <c r="X86" i="20"/>
  <c r="W86" i="20"/>
  <c r="V86" i="20"/>
  <c r="U86" i="20"/>
  <c r="T86" i="20"/>
  <c r="S86" i="20"/>
  <c r="R86" i="20"/>
  <c r="Q86" i="20"/>
  <c r="P86" i="20"/>
  <c r="O86" i="20"/>
  <c r="N86" i="20"/>
  <c r="M86" i="20"/>
  <c r="AF85" i="20"/>
  <c r="AE85" i="20"/>
  <c r="AD85" i="20"/>
  <c r="AC85" i="20"/>
  <c r="AB85" i="20"/>
  <c r="AA85" i="20"/>
  <c r="Z85" i="20"/>
  <c r="Y85" i="20"/>
  <c r="X85" i="20"/>
  <c r="X90" i="20" s="1"/>
  <c r="X91" i="20" s="1"/>
  <c r="W85" i="20"/>
  <c r="V85" i="20"/>
  <c r="U85" i="20"/>
  <c r="T85" i="20"/>
  <c r="S85" i="20"/>
  <c r="R85" i="20"/>
  <c r="Q85" i="20"/>
  <c r="Q90" i="20" s="1"/>
  <c r="Q91" i="20" s="1"/>
  <c r="P85" i="20"/>
  <c r="P90" i="20" s="1"/>
  <c r="P91" i="20" s="1"/>
  <c r="O85" i="20"/>
  <c r="N85" i="20"/>
  <c r="M85" i="20"/>
  <c r="K89" i="20"/>
  <c r="J89" i="20"/>
  <c r="I89" i="20"/>
  <c r="H89" i="20"/>
  <c r="D89" i="20"/>
  <c r="C89" i="20"/>
  <c r="B89" i="20"/>
  <c r="K88" i="20"/>
  <c r="J88" i="20"/>
  <c r="I88" i="20"/>
  <c r="H88" i="20"/>
  <c r="D88" i="20"/>
  <c r="C88" i="20"/>
  <c r="B88" i="20"/>
  <c r="K87" i="20"/>
  <c r="J87" i="20"/>
  <c r="I87" i="20"/>
  <c r="H87" i="20"/>
  <c r="D87" i="20"/>
  <c r="C87" i="20"/>
  <c r="B87" i="20"/>
  <c r="K86" i="20"/>
  <c r="J86" i="20"/>
  <c r="I86" i="20"/>
  <c r="H86" i="20"/>
  <c r="D86" i="20"/>
  <c r="C86" i="20"/>
  <c r="B86" i="20"/>
  <c r="K85" i="20"/>
  <c r="J85" i="20"/>
  <c r="I85" i="20"/>
  <c r="H85" i="20"/>
  <c r="D85" i="20"/>
  <c r="C85" i="20"/>
  <c r="B85" i="20"/>
  <c r="L89" i="20"/>
  <c r="L88" i="20"/>
  <c r="L87" i="20"/>
  <c r="L86" i="20"/>
  <c r="L85" i="20"/>
  <c r="W91" i="20"/>
  <c r="AC90" i="20"/>
  <c r="AC91" i="20" s="1"/>
  <c r="AB90" i="20"/>
  <c r="AB91" i="20" s="1"/>
  <c r="W90" i="20"/>
  <c r="R90" i="20"/>
  <c r="R91" i="20" s="1"/>
  <c r="M90" i="20"/>
  <c r="M91" i="20" s="1"/>
  <c r="AC101" i="20"/>
  <c r="M101" i="20"/>
  <c r="AF100" i="20"/>
  <c r="AF101" i="20" s="1"/>
  <c r="AE100" i="20"/>
  <c r="AE101" i="20" s="1"/>
  <c r="AD100" i="20"/>
  <c r="AD101" i="20" s="1"/>
  <c r="AC100" i="20"/>
  <c r="AB100" i="20"/>
  <c r="AB101" i="20" s="1"/>
  <c r="AA100" i="20"/>
  <c r="AA101" i="20" s="1"/>
  <c r="Z100" i="20"/>
  <c r="Z101" i="20" s="1"/>
  <c r="Y100" i="20"/>
  <c r="Y101" i="20" s="1"/>
  <c r="X100" i="20"/>
  <c r="X101" i="20" s="1"/>
  <c r="W100" i="20"/>
  <c r="W101" i="20" s="1"/>
  <c r="V100" i="20"/>
  <c r="V101" i="20" s="1"/>
  <c r="U100" i="20"/>
  <c r="U101" i="20" s="1"/>
  <c r="T100" i="20"/>
  <c r="T101" i="20" s="1"/>
  <c r="S100" i="20"/>
  <c r="S101" i="20" s="1"/>
  <c r="O100" i="20"/>
  <c r="O101" i="20" s="1"/>
  <c r="N100" i="20"/>
  <c r="N101" i="20" s="1"/>
  <c r="M100" i="20"/>
  <c r="L100" i="20"/>
  <c r="L101" i="20" s="1"/>
  <c r="K100" i="20"/>
  <c r="K101" i="20" s="1"/>
  <c r="J100" i="20"/>
  <c r="J101" i="20" s="1"/>
  <c r="I100" i="20"/>
  <c r="I101" i="20" s="1"/>
  <c r="H100" i="20"/>
  <c r="H101" i="20" s="1"/>
  <c r="D100" i="20"/>
  <c r="D101" i="20" s="1"/>
  <c r="C100" i="20"/>
  <c r="C101" i="20" s="1"/>
  <c r="B100" i="20"/>
  <c r="B101" i="20" s="1"/>
  <c r="AC81" i="20"/>
  <c r="W81" i="20"/>
  <c r="M81" i="20"/>
  <c r="AF80" i="20"/>
  <c r="AF81" i="20" s="1"/>
  <c r="AE80" i="20"/>
  <c r="AE81" i="20" s="1"/>
  <c r="AD80" i="20"/>
  <c r="AD81" i="20" s="1"/>
  <c r="AC80" i="20"/>
  <c r="AB80" i="20"/>
  <c r="AB81" i="20" s="1"/>
  <c r="Z80" i="20"/>
  <c r="Z81" i="20" s="1"/>
  <c r="Y80" i="20"/>
  <c r="X80" i="20"/>
  <c r="X81" i="20" s="1"/>
  <c r="W80" i="20"/>
  <c r="V80" i="20"/>
  <c r="V81" i="20" s="1"/>
  <c r="T80" i="20"/>
  <c r="T81" i="20" s="1"/>
  <c r="M80" i="20"/>
  <c r="L80" i="20"/>
  <c r="K80" i="20"/>
  <c r="K81" i="20" s="1"/>
  <c r="AB71" i="20"/>
  <c r="W71" i="20"/>
  <c r="AF70" i="20"/>
  <c r="AF71" i="20" s="1"/>
  <c r="AE70" i="20"/>
  <c r="AE71" i="20" s="1"/>
  <c r="AD70" i="20"/>
  <c r="AD71" i="20" s="1"/>
  <c r="AC70" i="20"/>
  <c r="AC71" i="20" s="1"/>
  <c r="AB70" i="20"/>
  <c r="Z70" i="20"/>
  <c r="Z71" i="20" s="1"/>
  <c r="Y70" i="20"/>
  <c r="Y71" i="20" s="1"/>
  <c r="X70" i="20"/>
  <c r="X71" i="20" s="1"/>
  <c r="W70" i="20"/>
  <c r="V70" i="20"/>
  <c r="V71" i="20" s="1"/>
  <c r="T70" i="20"/>
  <c r="T71" i="20" s="1"/>
  <c r="N70" i="20"/>
  <c r="N71" i="20" s="1"/>
  <c r="M70" i="20"/>
  <c r="M71" i="20" s="1"/>
  <c r="L70" i="20"/>
  <c r="L71" i="20" s="1"/>
  <c r="K70" i="20"/>
  <c r="K71" i="20" s="1"/>
  <c r="H70" i="20"/>
  <c r="H71" i="20" s="1"/>
  <c r="D70" i="20"/>
  <c r="D71" i="20" s="1"/>
  <c r="AE61" i="20"/>
  <c r="AB61" i="20"/>
  <c r="Y61" i="20"/>
  <c r="W61" i="20"/>
  <c r="AF60" i="20"/>
  <c r="AF61" i="20" s="1"/>
  <c r="AE60" i="20"/>
  <c r="AD60" i="20"/>
  <c r="AD61" i="20" s="1"/>
  <c r="AC60" i="20"/>
  <c r="AC61" i="20" s="1"/>
  <c r="AB60" i="20"/>
  <c r="AA60" i="20"/>
  <c r="AA61" i="20" s="1"/>
  <c r="Z60" i="20"/>
  <c r="Z61" i="20" s="1"/>
  <c r="Y60" i="20"/>
  <c r="X60" i="20"/>
  <c r="X61" i="20" s="1"/>
  <c r="W60" i="20"/>
  <c r="V60" i="20"/>
  <c r="V61" i="20" s="1"/>
  <c r="U60" i="20"/>
  <c r="U61" i="20" s="1"/>
  <c r="N60" i="20"/>
  <c r="N61" i="20" s="1"/>
  <c r="K60" i="20"/>
  <c r="K61" i="20" s="1"/>
  <c r="J60" i="20"/>
  <c r="J61" i="20" s="1"/>
  <c r="H60" i="20"/>
  <c r="H61" i="20" s="1"/>
  <c r="C60" i="20"/>
  <c r="C61" i="20" s="1"/>
  <c r="AB51" i="20"/>
  <c r="AF50" i="20"/>
  <c r="AF51" i="20" s="1"/>
  <c r="AE50" i="20"/>
  <c r="AE51" i="20" s="1"/>
  <c r="AD50" i="20"/>
  <c r="AD51" i="20" s="1"/>
  <c r="AC50" i="20"/>
  <c r="AC51" i="20" s="1"/>
  <c r="AB50" i="20"/>
  <c r="AA50" i="20"/>
  <c r="AA51" i="20" s="1"/>
  <c r="Z50" i="20"/>
  <c r="Z51" i="20" s="1"/>
  <c r="Y50" i="20"/>
  <c r="Y51" i="20" s="1"/>
  <c r="X50" i="20"/>
  <c r="X51" i="20" s="1"/>
  <c r="W50" i="20"/>
  <c r="W51" i="20" s="1"/>
  <c r="U50" i="20"/>
  <c r="U51" i="20" s="1"/>
  <c r="T50" i="20"/>
  <c r="T51" i="20" s="1"/>
  <c r="S50" i="20"/>
  <c r="S51" i="20" s="1"/>
  <c r="O50" i="20"/>
  <c r="O51" i="20" s="1"/>
  <c r="N50" i="20"/>
  <c r="N51" i="20" s="1"/>
  <c r="L50" i="20"/>
  <c r="L51" i="20" s="1"/>
  <c r="K50" i="20"/>
  <c r="K51" i="20" s="1"/>
  <c r="J50" i="20"/>
  <c r="J51" i="20" s="1"/>
  <c r="H50" i="20"/>
  <c r="H51" i="20" s="1"/>
  <c r="C50" i="20"/>
  <c r="C51" i="20" s="1"/>
  <c r="B50" i="20"/>
  <c r="B51" i="20" s="1"/>
  <c r="AC41" i="20"/>
  <c r="W41" i="20"/>
  <c r="AF40" i="20"/>
  <c r="AF41" i="20" s="1"/>
  <c r="AE40" i="20"/>
  <c r="AE41" i="20" s="1"/>
  <c r="AD40" i="20"/>
  <c r="AD41" i="20" s="1"/>
  <c r="AC40" i="20"/>
  <c r="AB40" i="20"/>
  <c r="AB41" i="20" s="1"/>
  <c r="Z40" i="20"/>
  <c r="Z41" i="20" s="1"/>
  <c r="Y40" i="20"/>
  <c r="Y41" i="20" s="1"/>
  <c r="X40" i="20"/>
  <c r="X41" i="20" s="1"/>
  <c r="W40" i="20"/>
  <c r="V40" i="20"/>
  <c r="V41" i="20" s="1"/>
  <c r="U40" i="20"/>
  <c r="U41" i="20" s="1"/>
  <c r="T40" i="20"/>
  <c r="T41" i="20" s="1"/>
  <c r="O40" i="20"/>
  <c r="O41" i="20" s="1"/>
  <c r="N40" i="20"/>
  <c r="N41" i="20" s="1"/>
  <c r="L40" i="20"/>
  <c r="L41" i="20" s="1"/>
  <c r="K40" i="20"/>
  <c r="K41" i="20" s="1"/>
  <c r="J40" i="20"/>
  <c r="J41" i="20" s="1"/>
  <c r="H40" i="20"/>
  <c r="H41" i="20" s="1"/>
  <c r="AC31" i="20"/>
  <c r="W31" i="20"/>
  <c r="AF30" i="20"/>
  <c r="AF31" i="20" s="1"/>
  <c r="AE30" i="20"/>
  <c r="AE31" i="20" s="1"/>
  <c r="AD30" i="20"/>
  <c r="AD31" i="20" s="1"/>
  <c r="AC30" i="20"/>
  <c r="AB30" i="20"/>
  <c r="AB31" i="20" s="1"/>
  <c r="Z30" i="20"/>
  <c r="Z31" i="20" s="1"/>
  <c r="Y30" i="20"/>
  <c r="Y31" i="20" s="1"/>
  <c r="X30" i="20"/>
  <c r="X31" i="20" s="1"/>
  <c r="W30" i="20"/>
  <c r="V30" i="20"/>
  <c r="V31" i="20" s="1"/>
  <c r="U30" i="20"/>
  <c r="U31" i="20" s="1"/>
  <c r="T30" i="20"/>
  <c r="O30" i="20"/>
  <c r="O31" i="20" s="1"/>
  <c r="N30" i="20"/>
  <c r="N31" i="20" s="1"/>
  <c r="L30" i="20"/>
  <c r="L31" i="20" s="1"/>
  <c r="K30" i="20"/>
  <c r="K31" i="20" s="1"/>
  <c r="J30" i="20"/>
  <c r="J31" i="20" s="1"/>
  <c r="H30" i="20"/>
  <c r="H31" i="20" s="1"/>
  <c r="B30" i="20"/>
  <c r="B31" i="20" s="1"/>
  <c r="AC21" i="20"/>
  <c r="AF20" i="20"/>
  <c r="AF21" i="20" s="1"/>
  <c r="AE20" i="20"/>
  <c r="AE21" i="20" s="1"/>
  <c r="AD20" i="20"/>
  <c r="AD21" i="20" s="1"/>
  <c r="AC20" i="20"/>
  <c r="AB20" i="20"/>
  <c r="AB21" i="20" s="1"/>
  <c r="Z20" i="20"/>
  <c r="Z21" i="20" s="1"/>
  <c r="Y20" i="20"/>
  <c r="Y21" i="20" s="1"/>
  <c r="X20" i="20"/>
  <c r="X21" i="20" s="1"/>
  <c r="W20" i="20"/>
  <c r="W21" i="20" s="1"/>
  <c r="V20" i="20"/>
  <c r="V21" i="20" s="1"/>
  <c r="T20" i="20"/>
  <c r="T21" i="20" s="1"/>
  <c r="O20" i="20"/>
  <c r="O21" i="20" s="1"/>
  <c r="N20" i="20"/>
  <c r="N21" i="20" s="1"/>
  <c r="L20" i="20"/>
  <c r="L21" i="20" s="1"/>
  <c r="K20" i="20"/>
  <c r="K21" i="20" s="1"/>
  <c r="J20" i="20"/>
  <c r="J21" i="20" s="1"/>
  <c r="H20" i="20"/>
  <c r="H21" i="20" s="1"/>
  <c r="X11" i="20"/>
  <c r="W11" i="20"/>
  <c r="AF10" i="20"/>
  <c r="AF11" i="20" s="1"/>
  <c r="AE10" i="20"/>
  <c r="AE11" i="20" s="1"/>
  <c r="AD10" i="20"/>
  <c r="AD11" i="20" s="1"/>
  <c r="AC10" i="20"/>
  <c r="AC11" i="20" s="1"/>
  <c r="AB10" i="20"/>
  <c r="AB11" i="20" s="1"/>
  <c r="Z10" i="20"/>
  <c r="Z11" i="20" s="1"/>
  <c r="Y10" i="20"/>
  <c r="Y11" i="20" s="1"/>
  <c r="X10" i="20"/>
  <c r="W10" i="20"/>
  <c r="V10" i="20"/>
  <c r="V11" i="20" s="1"/>
  <c r="U10" i="20"/>
  <c r="U11" i="20" s="1"/>
  <c r="T10" i="20"/>
  <c r="T11" i="20" s="1"/>
  <c r="O10" i="20"/>
  <c r="O11" i="20" s="1"/>
  <c r="N10" i="20"/>
  <c r="N11" i="20" s="1"/>
  <c r="K10" i="20"/>
  <c r="K11" i="20" s="1"/>
  <c r="H10" i="20"/>
  <c r="H11" i="20" s="1"/>
  <c r="B10" i="20"/>
  <c r="B11" i="20" s="1"/>
  <c r="L11" i="20"/>
  <c r="L10" i="20"/>
  <c r="AE90" i="20" l="1"/>
  <c r="AE91" i="20" s="1"/>
  <c r="AD90" i="20"/>
  <c r="AD91" i="20" s="1"/>
  <c r="T90" i="20"/>
  <c r="T91" i="20" s="1"/>
  <c r="AA90" i="20"/>
  <c r="AA91" i="20" s="1"/>
  <c r="U90" i="20"/>
  <c r="U91" i="20" s="1"/>
  <c r="N90" i="20"/>
  <c r="N91" i="20" s="1"/>
  <c r="H90" i="20"/>
  <c r="H91" i="20" s="1"/>
  <c r="J90" i="20"/>
  <c r="J91" i="20" s="1"/>
  <c r="I90" i="20"/>
  <c r="I91" i="20" s="1"/>
  <c r="AF90" i="20"/>
  <c r="AF91" i="20" s="1"/>
  <c r="K90" i="20"/>
  <c r="K91" i="20" s="1"/>
  <c r="D90" i="20"/>
  <c r="D91" i="20" s="1"/>
  <c r="C90" i="20"/>
  <c r="C91" i="20" s="1"/>
  <c r="Z90" i="20"/>
  <c r="Z91" i="20" s="1"/>
  <c r="S90" i="20"/>
  <c r="S91" i="20" s="1"/>
  <c r="B90" i="20"/>
  <c r="B91" i="20" s="1"/>
  <c r="Y90" i="20"/>
  <c r="Y91" i="20" s="1"/>
  <c r="V50" i="20"/>
  <c r="V51" i="20" s="1"/>
  <c r="V90" i="20"/>
  <c r="V91" i="20" s="1"/>
  <c r="O90" i="20"/>
  <c r="O91" i="20" s="1"/>
  <c r="L90" i="20"/>
  <c r="L91" i="20" s="1"/>
  <c r="W9" i="8"/>
  <c r="S9" i="8"/>
  <c r="Q9" i="8"/>
  <c r="R9" i="8"/>
  <c r="AB9" i="8"/>
  <c r="Y9" i="8"/>
  <c r="O9" i="8"/>
  <c r="M9" i="8"/>
  <c r="L9" i="8"/>
  <c r="E9" i="8"/>
  <c r="AS24" i="7"/>
  <c r="AR24" i="7"/>
  <c r="BC24" i="7"/>
  <c r="BB24" i="7"/>
  <c r="AW24" i="7"/>
  <c r="AV24" i="7"/>
  <c r="Y24" i="7"/>
  <c r="X24" i="7"/>
  <c r="W24" i="7"/>
  <c r="V24" i="7"/>
  <c r="AU14" i="1"/>
  <c r="BM14" i="1" s="1"/>
  <c r="AU12" i="1"/>
  <c r="BM12" i="1" s="1"/>
  <c r="AU11" i="1"/>
  <c r="BM11" i="1" s="1"/>
  <c r="AU10" i="1"/>
  <c r="BM10" i="1" s="1"/>
  <c r="AU9" i="1"/>
  <c r="BM9" i="1" s="1"/>
  <c r="AU7" i="1"/>
  <c r="BM7" i="1" s="1"/>
  <c r="AU6" i="1"/>
  <c r="BM6" i="1" s="1"/>
  <c r="AU5" i="1"/>
  <c r="BM5" i="1" s="1"/>
  <c r="AT14" i="1"/>
  <c r="BL14" i="1" s="1"/>
  <c r="AT12" i="1"/>
  <c r="BL12" i="1" s="1"/>
  <c r="AT11" i="1"/>
  <c r="BL11" i="1" s="1"/>
  <c r="AT10" i="1"/>
  <c r="BL10" i="1" s="1"/>
  <c r="AT9" i="1"/>
  <c r="BL9" i="1" s="1"/>
  <c r="AT7" i="1"/>
  <c r="BL7" i="1" s="1"/>
  <c r="AT6" i="1"/>
  <c r="BL6" i="1" s="1"/>
  <c r="AT5" i="1"/>
  <c r="BL5" i="1" s="1"/>
  <c r="BK99" i="9" l="1"/>
  <c r="BJ99" i="9"/>
  <c r="BI99" i="9"/>
  <c r="BH99" i="9"/>
  <c r="BG99" i="9"/>
  <c r="BF99" i="9"/>
  <c r="BE99" i="9"/>
  <c r="BD99" i="9"/>
  <c r="BC99" i="9"/>
  <c r="BB99" i="9"/>
  <c r="BA99" i="9"/>
  <c r="AZ99" i="9"/>
  <c r="AY99" i="9"/>
  <c r="AX99" i="9"/>
  <c r="AW99" i="9"/>
  <c r="AV99" i="9"/>
  <c r="AU99" i="9"/>
  <c r="AT99" i="9"/>
  <c r="AS99" i="9"/>
  <c r="AR99" i="9"/>
  <c r="AQ99" i="9"/>
  <c r="AP99" i="9"/>
  <c r="AO99" i="9"/>
  <c r="AN99" i="9"/>
  <c r="AM99" i="9"/>
  <c r="AL99" i="9"/>
  <c r="AK99" i="9"/>
  <c r="AJ99" i="9"/>
  <c r="AI99" i="9"/>
  <c r="AH99" i="9"/>
  <c r="AG99" i="9"/>
  <c r="AF99" i="9"/>
  <c r="AE99" i="9"/>
  <c r="AD99" i="9"/>
  <c r="AC99" i="9"/>
  <c r="AB99" i="9"/>
  <c r="AA99" i="9"/>
  <c r="Z99" i="9"/>
  <c r="Y99" i="9"/>
  <c r="X99" i="9"/>
  <c r="W99" i="9"/>
  <c r="V99" i="9"/>
  <c r="U99" i="9"/>
  <c r="T99" i="9"/>
  <c r="S99" i="9"/>
  <c r="R99" i="9"/>
  <c r="Q99" i="9"/>
  <c r="P99" i="9"/>
  <c r="O99" i="9"/>
  <c r="N99" i="9"/>
  <c r="M99" i="9"/>
  <c r="L99" i="9"/>
  <c r="K99" i="9"/>
  <c r="J99" i="9"/>
  <c r="I99" i="9"/>
  <c r="H99" i="9"/>
  <c r="G99" i="9"/>
  <c r="F99" i="9"/>
  <c r="E99" i="9"/>
  <c r="D99" i="9"/>
  <c r="C99" i="9"/>
  <c r="B99" i="9"/>
  <c r="Z16" i="8"/>
  <c r="I16" i="8"/>
  <c r="BM99" i="9" l="1"/>
  <c r="BL99" i="9"/>
  <c r="AA16" i="8"/>
  <c r="CJ35" i="14" l="1"/>
  <c r="CJ34" i="14"/>
  <c r="CJ33" i="14"/>
  <c r="CJ32" i="14"/>
  <c r="CJ31" i="14"/>
  <c r="CJ30" i="14"/>
  <c r="CJ28" i="14"/>
  <c r="CJ27" i="14"/>
  <c r="CJ26" i="14"/>
  <c r="CJ25" i="14"/>
  <c r="CJ24" i="14"/>
  <c r="CJ23" i="14"/>
  <c r="CJ22" i="14"/>
  <c r="CJ19" i="14"/>
  <c r="CJ18" i="14"/>
  <c r="CJ17" i="14"/>
  <c r="CJ16" i="14"/>
  <c r="CJ15" i="14"/>
  <c r="CJ14" i="14"/>
  <c r="CJ12" i="14"/>
  <c r="CJ11" i="14"/>
  <c r="CJ10" i="14"/>
  <c r="CJ7" i="14"/>
  <c r="CJ6" i="14"/>
  <c r="BC6" i="14"/>
  <c r="BC7" i="14"/>
  <c r="AQ18" i="14"/>
  <c r="AQ17" i="14"/>
  <c r="AQ16" i="14"/>
  <c r="AQ15" i="14"/>
  <c r="AQ14" i="14"/>
  <c r="AQ12" i="14"/>
  <c r="AQ11" i="14"/>
  <c r="AQ10" i="14"/>
  <c r="AQ9" i="14"/>
  <c r="AQ8" i="14"/>
  <c r="AQ7" i="14"/>
  <c r="AQ6" i="14"/>
  <c r="AD16" i="8" l="1"/>
  <c r="S8" i="1" l="1"/>
  <c r="G16" i="8"/>
  <c r="CB36" i="14" l="1"/>
  <c r="CC36" i="14"/>
  <c r="AG16" i="17" l="1"/>
  <c r="DA12" i="6" l="1"/>
  <c r="AD54" i="15" l="1"/>
  <c r="CP35" i="14" l="1"/>
  <c r="CP34" i="14"/>
  <c r="CP33" i="14"/>
  <c r="CP30" i="14"/>
  <c r="CP28" i="14"/>
  <c r="CP22" i="14"/>
  <c r="CP19" i="14"/>
  <c r="CP18" i="14"/>
  <c r="CP14" i="14"/>
  <c r="CP10" i="14"/>
  <c r="CP6" i="14"/>
  <c r="BX33" i="14"/>
  <c r="BX14" i="14"/>
  <c r="BX10" i="14"/>
  <c r="BX7" i="14"/>
  <c r="BX6" i="14"/>
  <c r="V33" i="14"/>
  <c r="BL34" i="14" l="1"/>
  <c r="BL30" i="14"/>
  <c r="BL28" i="14"/>
  <c r="BL27" i="14"/>
  <c r="BL22" i="14"/>
  <c r="BL18" i="14"/>
  <c r="BL16" i="14"/>
  <c r="BL15" i="14"/>
  <c r="BL14" i="14"/>
  <c r="BL11" i="14"/>
  <c r="BL10" i="14"/>
  <c r="BL7" i="14"/>
  <c r="BL6" i="14"/>
  <c r="BX34" i="14"/>
  <c r="BX30" i="14"/>
  <c r="BX28" i="14"/>
  <c r="BX23" i="14"/>
  <c r="BX22" i="14"/>
  <c r="BX19" i="14"/>
  <c r="BX18" i="14"/>
  <c r="AA8" i="1" l="1"/>
  <c r="AA13" i="1"/>
  <c r="AA15" i="1"/>
  <c r="AF16" i="8" l="1"/>
  <c r="AB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H16" i="8"/>
  <c r="F16" i="8"/>
  <c r="C16" i="8"/>
  <c r="B16" i="8"/>
  <c r="E16" i="8"/>
  <c r="O15" i="1" l="1"/>
  <c r="O13" i="1"/>
  <c r="O8" i="1"/>
  <c r="AQ13" i="1" l="1"/>
  <c r="AQ8" i="1" l="1"/>
  <c r="AQ15" i="1"/>
  <c r="AF23" i="7" l="1"/>
  <c r="AF25" i="7" s="1"/>
  <c r="AF21" i="7"/>
  <c r="AF15" i="7"/>
  <c r="AG15" i="1" l="1"/>
  <c r="AG13" i="1"/>
  <c r="AG8" i="1"/>
  <c r="AM13" i="1" l="1"/>
  <c r="AC15" i="1" l="1"/>
  <c r="AC13" i="1"/>
  <c r="I15" i="1"/>
  <c r="H15" i="1"/>
  <c r="G15" i="1"/>
  <c r="F15" i="1"/>
  <c r="E15" i="1"/>
  <c r="D15" i="1"/>
  <c r="C15" i="1"/>
  <c r="I13" i="1"/>
  <c r="H13" i="1"/>
  <c r="G13" i="1"/>
  <c r="F13" i="1"/>
  <c r="E13" i="1"/>
  <c r="D13" i="1"/>
  <c r="C13" i="1"/>
  <c r="I8" i="1"/>
  <c r="H8" i="1"/>
  <c r="G8" i="1"/>
  <c r="F8" i="1"/>
  <c r="E8" i="1"/>
  <c r="D8" i="1"/>
  <c r="C8" i="1"/>
  <c r="BI15" i="1"/>
  <c r="BG15" i="1"/>
  <c r="BF15" i="1"/>
  <c r="BI13" i="1"/>
  <c r="BG13" i="1"/>
  <c r="BF13" i="1"/>
  <c r="BI8" i="1"/>
  <c r="BG8" i="1"/>
  <c r="BF8" i="1"/>
  <c r="BC15" i="1"/>
  <c r="BC13" i="1"/>
  <c r="BC8" i="1"/>
  <c r="BA13" i="1"/>
  <c r="AY15" i="1"/>
  <c r="AY13" i="1"/>
  <c r="AY8" i="1"/>
  <c r="AS15" i="1"/>
  <c r="AS13" i="1"/>
  <c r="AS8" i="1"/>
  <c r="AE15" i="1"/>
  <c r="AE13" i="1"/>
  <c r="AE8" i="1"/>
  <c r="Y15" i="1"/>
  <c r="Y13" i="1"/>
  <c r="Y8" i="1"/>
  <c r="W15" i="1"/>
  <c r="W13" i="1"/>
  <c r="W8" i="1"/>
  <c r="BA15" i="1" l="1"/>
  <c r="AC8" i="1"/>
  <c r="M15" i="1"/>
  <c r="M13" i="1"/>
  <c r="M8" i="1"/>
  <c r="BA8" i="1"/>
  <c r="BZ20" i="14"/>
  <c r="AI15" i="1" l="1"/>
  <c r="AI13" i="1" l="1"/>
  <c r="AI8" i="1"/>
  <c r="CO36" i="14"/>
  <c r="CN36" i="14"/>
  <c r="CP32" i="14"/>
  <c r="CP31" i="14"/>
  <c r="CP27" i="14"/>
  <c r="CP26" i="14"/>
  <c r="CP25" i="14"/>
  <c r="CP24" i="14"/>
  <c r="CP23" i="14"/>
  <c r="CO20" i="14"/>
  <c r="CN20" i="14"/>
  <c r="CP17" i="14"/>
  <c r="CP16" i="14"/>
  <c r="CP15" i="14"/>
  <c r="CP12" i="14"/>
  <c r="CP11" i="14"/>
  <c r="CP9" i="14"/>
  <c r="CP8" i="14"/>
  <c r="CP7" i="14"/>
  <c r="BK8" i="1"/>
  <c r="BK15" i="1"/>
  <c r="S100" i="9"/>
  <c r="S97" i="9"/>
  <c r="S96" i="9"/>
  <c r="S95" i="9"/>
  <c r="S94" i="9"/>
  <c r="S15" i="1"/>
  <c r="S13" i="1"/>
  <c r="CO37" i="14" l="1"/>
  <c r="CP36" i="14"/>
  <c r="CP20" i="14"/>
  <c r="CN37" i="14"/>
  <c r="BK13" i="1"/>
  <c r="CP37" i="14" l="1"/>
  <c r="AU15" i="1" l="1"/>
  <c r="AU13" i="1"/>
  <c r="AU8" i="1"/>
  <c r="AO8" i="1"/>
  <c r="U15" i="1"/>
  <c r="U13" i="1"/>
  <c r="T8" i="1"/>
  <c r="Q15" i="1"/>
  <c r="Q13" i="1"/>
  <c r="Q8" i="1"/>
  <c r="BT36" i="14"/>
  <c r="BS36" i="14"/>
  <c r="BU35" i="14"/>
  <c r="BU34" i="14"/>
  <c r="BU32" i="14"/>
  <c r="BU31" i="14"/>
  <c r="BU30" i="14"/>
  <c r="BU28" i="14"/>
  <c r="BU27" i="14"/>
  <c r="BU26" i="14"/>
  <c r="BU25" i="14"/>
  <c r="BU24" i="14"/>
  <c r="BU23" i="14"/>
  <c r="BU22" i="14"/>
  <c r="BT20" i="14"/>
  <c r="BU19" i="14"/>
  <c r="BU18" i="14"/>
  <c r="BU17" i="14"/>
  <c r="BU16" i="14"/>
  <c r="BU15" i="14"/>
  <c r="BU14" i="14"/>
  <c r="BU12" i="14"/>
  <c r="BU11" i="14"/>
  <c r="BU10" i="14"/>
  <c r="BU9" i="14"/>
  <c r="BU8" i="14"/>
  <c r="BU7" i="14"/>
  <c r="BU6" i="14"/>
  <c r="AW100" i="10"/>
  <c r="AV100" i="10"/>
  <c r="AW99" i="10"/>
  <c r="AV99" i="10"/>
  <c r="AW98" i="10"/>
  <c r="AV98" i="10"/>
  <c r="AW97" i="10"/>
  <c r="AV97" i="10"/>
  <c r="AW96" i="10"/>
  <c r="AV96" i="10"/>
  <c r="AW95" i="10"/>
  <c r="AV95" i="10"/>
  <c r="AW94" i="10"/>
  <c r="AV94" i="10"/>
  <c r="AW15" i="1"/>
  <c r="AW13" i="1"/>
  <c r="AW8" i="1"/>
  <c r="U8" i="1" l="1"/>
  <c r="BU20" i="14"/>
  <c r="BU36" i="14"/>
  <c r="AO13" i="1"/>
  <c r="AO15" i="1"/>
  <c r="BT37" i="14"/>
  <c r="BS37" i="14"/>
  <c r="DU15" i="6"/>
  <c r="DT15" i="6"/>
  <c r="DS15" i="6"/>
  <c r="DR15" i="6"/>
  <c r="DQ15" i="6"/>
  <c r="DP15" i="6"/>
  <c r="DO15" i="6"/>
  <c r="DN15" i="6"/>
  <c r="DM15" i="6"/>
  <c r="DL15" i="6"/>
  <c r="DK15" i="6"/>
  <c r="DJ15" i="6"/>
  <c r="DI15" i="6"/>
  <c r="DH15" i="6"/>
  <c r="DG15" i="6"/>
  <c r="DF15" i="6"/>
  <c r="DA15" i="6"/>
  <c r="CZ15" i="6"/>
  <c r="CY15" i="6"/>
  <c r="CX15" i="6"/>
  <c r="DU12" i="6"/>
  <c r="DT12" i="6"/>
  <c r="DS12" i="6"/>
  <c r="DR12" i="6"/>
  <c r="DQ12" i="6"/>
  <c r="DP12" i="6"/>
  <c r="DO12" i="6"/>
  <c r="DN12" i="6"/>
  <c r="DM12" i="6"/>
  <c r="DL12" i="6"/>
  <c r="DK12" i="6"/>
  <c r="DJ12" i="6"/>
  <c r="DI12" i="6"/>
  <c r="DH12" i="6"/>
  <c r="DG12" i="6"/>
  <c r="DF12" i="6"/>
  <c r="CZ12" i="6"/>
  <c r="CY12" i="6"/>
  <c r="CX12" i="6"/>
  <c r="BK100" i="11"/>
  <c r="BJ100" i="11"/>
  <c r="BI100" i="11"/>
  <c r="BH100" i="11"/>
  <c r="BG100" i="11"/>
  <c r="BF100" i="11"/>
  <c r="BE100" i="11"/>
  <c r="BD100" i="11"/>
  <c r="BC100" i="11"/>
  <c r="BB100" i="11"/>
  <c r="BA100" i="11"/>
  <c r="AZ100" i="11"/>
  <c r="AY100" i="11"/>
  <c r="AX100" i="11"/>
  <c r="AW100" i="11"/>
  <c r="AV100" i="11"/>
  <c r="AU100" i="11"/>
  <c r="AT100" i="11"/>
  <c r="AS100" i="11"/>
  <c r="AR100" i="11"/>
  <c r="AQ100" i="11"/>
  <c r="AP100" i="11"/>
  <c r="AO100" i="11"/>
  <c r="AN100" i="11"/>
  <c r="AM100" i="11"/>
  <c r="AL100" i="11"/>
  <c r="AK100" i="11"/>
  <c r="AJ100" i="11"/>
  <c r="AI100" i="11"/>
  <c r="AH100" i="11"/>
  <c r="AG100" i="11"/>
  <c r="AF100" i="11"/>
  <c r="BK99" i="11"/>
  <c r="BJ99" i="11"/>
  <c r="BI99" i="11"/>
  <c r="BH99" i="11"/>
  <c r="BG99" i="11"/>
  <c r="BF99" i="11"/>
  <c r="BE99" i="11"/>
  <c r="BD99" i="11"/>
  <c r="BC99" i="11"/>
  <c r="BB99" i="11"/>
  <c r="BA99" i="11"/>
  <c r="AZ99" i="11"/>
  <c r="AY99" i="11"/>
  <c r="AX99" i="11"/>
  <c r="AW99" i="11"/>
  <c r="AV99" i="11"/>
  <c r="AU99" i="11"/>
  <c r="AT99" i="11"/>
  <c r="AS99" i="11"/>
  <c r="AR99" i="11"/>
  <c r="AQ99" i="11"/>
  <c r="AP99" i="11"/>
  <c r="AO99" i="11"/>
  <c r="AN99" i="11"/>
  <c r="AM99" i="11"/>
  <c r="AL99" i="11"/>
  <c r="AK99" i="11"/>
  <c r="AJ99" i="11"/>
  <c r="AI99" i="11"/>
  <c r="AH99" i="11"/>
  <c r="AG99" i="11"/>
  <c r="AF99" i="11"/>
  <c r="BK98" i="11"/>
  <c r="BJ98" i="11"/>
  <c r="BI98" i="11"/>
  <c r="BH98" i="11"/>
  <c r="BG98" i="11"/>
  <c r="BF98" i="11"/>
  <c r="BE98" i="11"/>
  <c r="BD98" i="11"/>
  <c r="BC98" i="11"/>
  <c r="BB98" i="11"/>
  <c r="BA98" i="11"/>
  <c r="AZ98" i="11"/>
  <c r="AY98" i="11"/>
  <c r="AX98" i="11"/>
  <c r="AW98" i="11"/>
  <c r="AV98" i="11"/>
  <c r="AU98" i="11"/>
  <c r="AT98" i="11"/>
  <c r="AS98" i="11"/>
  <c r="AR98" i="11"/>
  <c r="AQ98" i="11"/>
  <c r="AP98" i="11"/>
  <c r="AO98" i="11"/>
  <c r="AN98" i="11"/>
  <c r="AM98" i="11"/>
  <c r="AL98" i="11"/>
  <c r="AK98" i="11"/>
  <c r="AJ98" i="11"/>
  <c r="AI98" i="11"/>
  <c r="AH98" i="11"/>
  <c r="AG98" i="11"/>
  <c r="AF98" i="11"/>
  <c r="BK94" i="11"/>
  <c r="BJ94" i="11"/>
  <c r="BI94" i="11"/>
  <c r="BH94" i="11"/>
  <c r="BG94" i="11"/>
  <c r="BF94" i="11"/>
  <c r="BE94" i="11"/>
  <c r="BD94" i="11"/>
  <c r="BC94" i="11"/>
  <c r="BB94" i="11"/>
  <c r="BA94" i="11"/>
  <c r="AZ94" i="11"/>
  <c r="AY94" i="11"/>
  <c r="AX94" i="11"/>
  <c r="AW94" i="11"/>
  <c r="AV94" i="11"/>
  <c r="AU94" i="11"/>
  <c r="AT94" i="11"/>
  <c r="AS94" i="11"/>
  <c r="AR94" i="11"/>
  <c r="AQ94" i="11"/>
  <c r="AP94" i="11"/>
  <c r="AO94" i="11"/>
  <c r="AN94" i="11"/>
  <c r="AM94" i="11"/>
  <c r="AL94" i="11"/>
  <c r="AK94" i="11"/>
  <c r="AJ94" i="11"/>
  <c r="AI94" i="11"/>
  <c r="AH94" i="11"/>
  <c r="AG94" i="11"/>
  <c r="AF94" i="11"/>
  <c r="BK100" i="10"/>
  <c r="BJ100" i="10"/>
  <c r="BI100" i="10"/>
  <c r="BH100" i="10"/>
  <c r="BG100" i="10"/>
  <c r="BF100" i="10"/>
  <c r="BE100" i="10"/>
  <c r="BD100" i="10"/>
  <c r="BC100" i="10"/>
  <c r="BB100" i="10"/>
  <c r="BA100" i="10"/>
  <c r="AZ100" i="10"/>
  <c r="AY100" i="10"/>
  <c r="AX100" i="10"/>
  <c r="AS100" i="10"/>
  <c r="AR100" i="10"/>
  <c r="AQ100" i="10"/>
  <c r="AP100" i="10"/>
  <c r="AO100" i="10"/>
  <c r="AN100" i="10"/>
  <c r="AM100" i="10"/>
  <c r="AL100" i="10"/>
  <c r="AK100" i="10"/>
  <c r="AJ100" i="10"/>
  <c r="AI100" i="10"/>
  <c r="AH100" i="10"/>
  <c r="AG100" i="10"/>
  <c r="AF100" i="10"/>
  <c r="BK99" i="10"/>
  <c r="BJ99" i="10"/>
  <c r="BI99" i="10"/>
  <c r="BH99" i="10"/>
  <c r="BG99" i="10"/>
  <c r="BF99" i="10"/>
  <c r="BE99" i="10"/>
  <c r="BD99" i="10"/>
  <c r="BC99" i="10"/>
  <c r="BB99" i="10"/>
  <c r="BA99" i="10"/>
  <c r="AZ99" i="10"/>
  <c r="AY99" i="10"/>
  <c r="AX99" i="10"/>
  <c r="AU99" i="10"/>
  <c r="AT99" i="10"/>
  <c r="AS99" i="10"/>
  <c r="AR99" i="10"/>
  <c r="AQ99" i="10"/>
  <c r="AP99" i="10"/>
  <c r="AO99" i="10"/>
  <c r="AN99" i="10"/>
  <c r="AM99" i="10"/>
  <c r="AL99" i="10"/>
  <c r="AK99" i="10"/>
  <c r="AJ99" i="10"/>
  <c r="AI99" i="10"/>
  <c r="AH99" i="10"/>
  <c r="AG99" i="10"/>
  <c r="AF99" i="10"/>
  <c r="BK98" i="10"/>
  <c r="BJ98" i="10"/>
  <c r="BI98" i="10"/>
  <c r="BH98" i="10"/>
  <c r="BG98" i="10"/>
  <c r="BF98" i="10"/>
  <c r="BE98" i="10"/>
  <c r="BD98" i="10"/>
  <c r="BC98" i="10"/>
  <c r="BB98" i="10"/>
  <c r="BA98" i="10"/>
  <c r="AZ98" i="10"/>
  <c r="AY98" i="10"/>
  <c r="AX98" i="10"/>
  <c r="AU98" i="10"/>
  <c r="AT98" i="10"/>
  <c r="AS98" i="10"/>
  <c r="AR98" i="10"/>
  <c r="AQ98" i="10"/>
  <c r="AP98" i="10"/>
  <c r="AO98" i="10"/>
  <c r="AN98" i="10"/>
  <c r="AM98" i="10"/>
  <c r="AL98" i="10"/>
  <c r="AK98" i="10"/>
  <c r="AJ98" i="10"/>
  <c r="AI98" i="10"/>
  <c r="AH98" i="10"/>
  <c r="AG98" i="10"/>
  <c r="AF98" i="10"/>
  <c r="BK97" i="10"/>
  <c r="BJ97" i="10"/>
  <c r="BI97" i="10"/>
  <c r="BH97" i="10"/>
  <c r="BG97" i="10"/>
  <c r="BF97" i="10"/>
  <c r="BE97" i="10"/>
  <c r="BD97" i="10"/>
  <c r="BC97" i="10"/>
  <c r="BB97" i="10"/>
  <c r="BA97" i="10"/>
  <c r="AZ97" i="10"/>
  <c r="AY97" i="10"/>
  <c r="AX97" i="10"/>
  <c r="AU97" i="10"/>
  <c r="AT97" i="10"/>
  <c r="AS97" i="10"/>
  <c r="AR97" i="10"/>
  <c r="AQ97" i="10"/>
  <c r="AP97" i="10"/>
  <c r="AO97" i="10"/>
  <c r="AN97" i="10"/>
  <c r="AM97" i="10"/>
  <c r="AL97" i="10"/>
  <c r="AK97" i="10"/>
  <c r="AJ97" i="10"/>
  <c r="AI97" i="10"/>
  <c r="AH97" i="10"/>
  <c r="AG97" i="10"/>
  <c r="AF97" i="10"/>
  <c r="BK96" i="10"/>
  <c r="BJ96" i="10"/>
  <c r="BI96" i="10"/>
  <c r="BH96" i="10"/>
  <c r="BG96" i="10"/>
  <c r="BF96" i="10"/>
  <c r="BE96" i="10"/>
  <c r="BD96" i="10"/>
  <c r="BC96" i="10"/>
  <c r="BB96" i="10"/>
  <c r="BA96" i="10"/>
  <c r="AZ96" i="10"/>
  <c r="AY96" i="10"/>
  <c r="AX96" i="10"/>
  <c r="AU96" i="10"/>
  <c r="AT96" i="10"/>
  <c r="AS96" i="10"/>
  <c r="AR96" i="10"/>
  <c r="AQ96" i="10"/>
  <c r="AP96" i="10"/>
  <c r="AO96" i="10"/>
  <c r="AN96" i="10"/>
  <c r="AM96" i="10"/>
  <c r="AL96" i="10"/>
  <c r="AK96" i="10"/>
  <c r="AJ96" i="10"/>
  <c r="AI96" i="10"/>
  <c r="AH96" i="10"/>
  <c r="AG96" i="10"/>
  <c r="AF96" i="10"/>
  <c r="BK95" i="10"/>
  <c r="BJ95" i="10"/>
  <c r="BI95" i="10"/>
  <c r="BH95" i="10"/>
  <c r="BG95" i="10"/>
  <c r="BF95" i="10"/>
  <c r="BE95" i="10"/>
  <c r="BD95" i="10"/>
  <c r="BC95" i="10"/>
  <c r="BB95" i="10"/>
  <c r="BA95" i="10"/>
  <c r="AZ95" i="10"/>
  <c r="AY95" i="10"/>
  <c r="AX95" i="10"/>
  <c r="AU95" i="10"/>
  <c r="AT95" i="10"/>
  <c r="AS95" i="10"/>
  <c r="AR95" i="10"/>
  <c r="AQ95" i="10"/>
  <c r="AP95" i="10"/>
  <c r="AO95" i="10"/>
  <c r="AN95" i="10"/>
  <c r="AM95" i="10"/>
  <c r="AL95" i="10"/>
  <c r="AK95" i="10"/>
  <c r="AJ95" i="10"/>
  <c r="AI95" i="10"/>
  <c r="AH95" i="10"/>
  <c r="AG95" i="10"/>
  <c r="AF95" i="10"/>
  <c r="BK94" i="10"/>
  <c r="BJ94" i="10"/>
  <c r="BI94" i="10"/>
  <c r="BH94" i="10"/>
  <c r="BG94" i="10"/>
  <c r="BF94" i="10"/>
  <c r="BE94" i="10"/>
  <c r="BD94" i="10"/>
  <c r="BC94" i="10"/>
  <c r="BB94" i="10"/>
  <c r="BA94" i="10"/>
  <c r="AZ94" i="10"/>
  <c r="AY94" i="10"/>
  <c r="AX94" i="10"/>
  <c r="AU94" i="10"/>
  <c r="AT94" i="10"/>
  <c r="AS94" i="10"/>
  <c r="AR94" i="10"/>
  <c r="AQ94" i="10"/>
  <c r="AP94" i="10"/>
  <c r="AO94" i="10"/>
  <c r="AN94" i="10"/>
  <c r="AM94" i="10"/>
  <c r="AL94" i="10"/>
  <c r="AK94" i="10"/>
  <c r="AJ94" i="10"/>
  <c r="AI94" i="10"/>
  <c r="AH94" i="10"/>
  <c r="AG94" i="10"/>
  <c r="AF94" i="10"/>
  <c r="AF100" i="9"/>
  <c r="AF97" i="9"/>
  <c r="AF96" i="9"/>
  <c r="AF95" i="9"/>
  <c r="AF94" i="9"/>
  <c r="BK100" i="9"/>
  <c r="BJ100" i="9"/>
  <c r="BI100" i="9"/>
  <c r="BH100" i="9"/>
  <c r="BG100" i="9"/>
  <c r="BF100" i="9"/>
  <c r="BE100" i="9"/>
  <c r="BD100" i="9"/>
  <c r="BC100" i="9"/>
  <c r="BB100" i="9"/>
  <c r="BA100" i="9"/>
  <c r="AZ100" i="9"/>
  <c r="AY100" i="9"/>
  <c r="AX100" i="9"/>
  <c r="AW100" i="9"/>
  <c r="AV100" i="9"/>
  <c r="AU100" i="9"/>
  <c r="AT100" i="9"/>
  <c r="AS100" i="9"/>
  <c r="AR100" i="9"/>
  <c r="AQ100" i="9"/>
  <c r="AP100" i="9"/>
  <c r="AO100" i="9"/>
  <c r="AN100" i="9"/>
  <c r="AM100" i="9"/>
  <c r="AL100" i="9"/>
  <c r="AK100" i="9"/>
  <c r="AJ100" i="9"/>
  <c r="AI100" i="9"/>
  <c r="AH100" i="9"/>
  <c r="AG100" i="9"/>
  <c r="BK97" i="9"/>
  <c r="BJ97" i="9"/>
  <c r="BI97" i="9"/>
  <c r="BH97" i="9"/>
  <c r="BG97" i="9"/>
  <c r="BF97" i="9"/>
  <c r="BE97" i="9"/>
  <c r="BD97" i="9"/>
  <c r="BC97" i="9"/>
  <c r="BB97" i="9"/>
  <c r="BA97" i="9"/>
  <c r="AZ97" i="9"/>
  <c r="AY97" i="9"/>
  <c r="AX97" i="9"/>
  <c r="AW97" i="9"/>
  <c r="AV97" i="9"/>
  <c r="AU97" i="9"/>
  <c r="AT97" i="9"/>
  <c r="AS97" i="9"/>
  <c r="AR97" i="9"/>
  <c r="AQ97" i="9"/>
  <c r="AP97" i="9"/>
  <c r="AO97" i="9"/>
  <c r="AN97" i="9"/>
  <c r="AM97" i="9"/>
  <c r="AL97" i="9"/>
  <c r="AK97" i="9"/>
  <c r="AJ97" i="9"/>
  <c r="AI97" i="9"/>
  <c r="AH97" i="9"/>
  <c r="AG97" i="9"/>
  <c r="BK96" i="9"/>
  <c r="BJ96" i="9"/>
  <c r="BI96" i="9"/>
  <c r="BH96" i="9"/>
  <c r="BG96" i="9"/>
  <c r="BF96" i="9"/>
  <c r="BE96" i="9"/>
  <c r="BD96" i="9"/>
  <c r="BC96" i="9"/>
  <c r="BB96" i="9"/>
  <c r="BA96" i="9"/>
  <c r="AZ96" i="9"/>
  <c r="AY96" i="9"/>
  <c r="AX96" i="9"/>
  <c r="AW96" i="9"/>
  <c r="AV96" i="9"/>
  <c r="AU96" i="9"/>
  <c r="AT96" i="9"/>
  <c r="AS96" i="9"/>
  <c r="AR96" i="9"/>
  <c r="AQ96" i="9"/>
  <c r="AP96" i="9"/>
  <c r="AO96" i="9"/>
  <c r="AN96" i="9"/>
  <c r="AM96" i="9"/>
  <c r="AL96" i="9"/>
  <c r="AK96" i="9"/>
  <c r="AJ96" i="9"/>
  <c r="AI96" i="9"/>
  <c r="AH96" i="9"/>
  <c r="AG96" i="9"/>
  <c r="BK95" i="9"/>
  <c r="BJ95" i="9"/>
  <c r="BI95" i="9"/>
  <c r="BH95" i="9"/>
  <c r="BG95" i="9"/>
  <c r="BF95" i="9"/>
  <c r="BE95" i="9"/>
  <c r="BD95" i="9"/>
  <c r="BC95" i="9"/>
  <c r="BB95" i="9"/>
  <c r="BA95" i="9"/>
  <c r="AZ95" i="9"/>
  <c r="AY95" i="9"/>
  <c r="AX95" i="9"/>
  <c r="AW95" i="9"/>
  <c r="AV95" i="9"/>
  <c r="AU95" i="9"/>
  <c r="AT95" i="9"/>
  <c r="AS95" i="9"/>
  <c r="AR95" i="9"/>
  <c r="AQ95" i="9"/>
  <c r="AP95" i="9"/>
  <c r="AO95" i="9"/>
  <c r="AN95" i="9"/>
  <c r="AM95" i="9"/>
  <c r="AL95" i="9"/>
  <c r="AK95" i="9"/>
  <c r="AJ95" i="9"/>
  <c r="AI95" i="9"/>
  <c r="AH95" i="9"/>
  <c r="AG95" i="9"/>
  <c r="BK94" i="9"/>
  <c r="BJ94" i="9"/>
  <c r="BI94" i="9"/>
  <c r="BH94" i="9"/>
  <c r="BG94" i="9"/>
  <c r="BF94" i="9"/>
  <c r="BE94" i="9"/>
  <c r="BD94" i="9"/>
  <c r="BC94" i="9"/>
  <c r="BB94" i="9"/>
  <c r="BA94" i="9"/>
  <c r="AZ94" i="9"/>
  <c r="AY94" i="9"/>
  <c r="AX94" i="9"/>
  <c r="AW94" i="9"/>
  <c r="AV94" i="9"/>
  <c r="AU94" i="9"/>
  <c r="AT94" i="9"/>
  <c r="AS94" i="9"/>
  <c r="AR94" i="9"/>
  <c r="AQ94" i="9"/>
  <c r="AP94" i="9"/>
  <c r="AO94" i="9"/>
  <c r="AN94" i="9"/>
  <c r="AM94" i="9"/>
  <c r="AL94" i="9"/>
  <c r="AK94" i="9"/>
  <c r="AJ94" i="9"/>
  <c r="AI94" i="9"/>
  <c r="AH94" i="9"/>
  <c r="AG94" i="9"/>
  <c r="BK23" i="7"/>
  <c r="BK25" i="7" s="1"/>
  <c r="BJ23" i="7"/>
  <c r="BJ25" i="7" s="1"/>
  <c r="BI23" i="7"/>
  <c r="BI25" i="7" s="1"/>
  <c r="BH23" i="7"/>
  <c r="BH25" i="7" s="1"/>
  <c r="BG23" i="7"/>
  <c r="BG25" i="7" s="1"/>
  <c r="BF23" i="7"/>
  <c r="BF25" i="7" s="1"/>
  <c r="BE23" i="7"/>
  <c r="BE25" i="7" s="1"/>
  <c r="BD23" i="7"/>
  <c r="BD25" i="7" s="1"/>
  <c r="BC23" i="7"/>
  <c r="BC25" i="7" s="1"/>
  <c r="BB23" i="7"/>
  <c r="BB25" i="7" s="1"/>
  <c r="BA23" i="7"/>
  <c r="BA25" i="7" s="1"/>
  <c r="AZ23" i="7"/>
  <c r="AZ25" i="7" s="1"/>
  <c r="AY23" i="7"/>
  <c r="AY25" i="7" s="1"/>
  <c r="AX23" i="7"/>
  <c r="AX25" i="7" s="1"/>
  <c r="AW23" i="7"/>
  <c r="AW25" i="7" s="1"/>
  <c r="AV23" i="7"/>
  <c r="AV25" i="7" s="1"/>
  <c r="AU23" i="7"/>
  <c r="AU25" i="7" s="1"/>
  <c r="AT23" i="7"/>
  <c r="AT25" i="7" s="1"/>
  <c r="AS23" i="7"/>
  <c r="AS25" i="7" s="1"/>
  <c r="AR23" i="7"/>
  <c r="AR25" i="7" s="1"/>
  <c r="AQ23" i="7"/>
  <c r="AQ25" i="7" s="1"/>
  <c r="AP23" i="7"/>
  <c r="AP25" i="7" s="1"/>
  <c r="AO23" i="7"/>
  <c r="AO25" i="7" s="1"/>
  <c r="AN23" i="7"/>
  <c r="AN25" i="7" s="1"/>
  <c r="AM23" i="7"/>
  <c r="AM25" i="7" s="1"/>
  <c r="AL23" i="7"/>
  <c r="AL25" i="7" s="1"/>
  <c r="AI23" i="7"/>
  <c r="AI25" i="7" s="1"/>
  <c r="AH23" i="7"/>
  <c r="AH25" i="7" s="1"/>
  <c r="AG23" i="7"/>
  <c r="AG25" i="7" s="1"/>
  <c r="BK21" i="7"/>
  <c r="BJ21" i="7"/>
  <c r="BI21" i="7"/>
  <c r="BH21" i="7"/>
  <c r="BG21" i="7"/>
  <c r="BF21" i="7"/>
  <c r="BE21" i="7"/>
  <c r="BD21" i="7"/>
  <c r="BC21" i="7"/>
  <c r="BB21" i="7"/>
  <c r="BA21" i="7"/>
  <c r="AZ21" i="7"/>
  <c r="AY21" i="7"/>
  <c r="AX21" i="7"/>
  <c r="AW21" i="7"/>
  <c r="AV21" i="7"/>
  <c r="AU21" i="7"/>
  <c r="AT21" i="7"/>
  <c r="AS21" i="7"/>
  <c r="AR21" i="7"/>
  <c r="AQ21" i="7"/>
  <c r="AP21" i="7"/>
  <c r="AO21" i="7"/>
  <c r="AN21" i="7"/>
  <c r="AM21" i="7"/>
  <c r="AL21" i="7"/>
  <c r="AI21" i="7"/>
  <c r="AH21" i="7"/>
  <c r="AG21" i="7"/>
  <c r="BK15" i="7"/>
  <c r="BJ15" i="7"/>
  <c r="BI15" i="7"/>
  <c r="BH15" i="7"/>
  <c r="BG15" i="7"/>
  <c r="BF15" i="7"/>
  <c r="BE15" i="7"/>
  <c r="BD15" i="7"/>
  <c r="BC15" i="7"/>
  <c r="BB15" i="7"/>
  <c r="BA15" i="7"/>
  <c r="AZ15" i="7"/>
  <c r="AY15" i="7"/>
  <c r="AX15" i="7"/>
  <c r="AW15" i="7"/>
  <c r="AV15" i="7"/>
  <c r="AU15" i="7"/>
  <c r="AT15" i="7"/>
  <c r="AS15" i="7"/>
  <c r="AR15" i="7"/>
  <c r="AQ15" i="7"/>
  <c r="AP15" i="7"/>
  <c r="AO15" i="7"/>
  <c r="AN15" i="7"/>
  <c r="AM15" i="7"/>
  <c r="AL15" i="7"/>
  <c r="AI15" i="7"/>
  <c r="AH15" i="7"/>
  <c r="AG15" i="7"/>
  <c r="BE15" i="1"/>
  <c r="BE13" i="1"/>
  <c r="BE8" i="1"/>
  <c r="K15" i="1"/>
  <c r="K13" i="1"/>
  <c r="K8" i="1"/>
  <c r="BU37" i="14" l="1"/>
  <c r="AE99" i="11"/>
  <c r="AD99" i="11"/>
  <c r="AC99" i="11"/>
  <c r="AB99" i="11"/>
  <c r="AA99" i="11"/>
  <c r="Z99" i="11"/>
  <c r="Y99" i="11"/>
  <c r="X99" i="11"/>
  <c r="W99" i="11"/>
  <c r="V99" i="11"/>
  <c r="U99" i="11"/>
  <c r="T99" i="11"/>
  <c r="S99" i="11"/>
  <c r="R99" i="11"/>
  <c r="Q99" i="11"/>
  <c r="P99" i="11"/>
  <c r="O99" i="11"/>
  <c r="N99" i="11"/>
  <c r="M99" i="11"/>
  <c r="L99" i="11"/>
  <c r="K99" i="11"/>
  <c r="J99" i="11"/>
  <c r="I99" i="11"/>
  <c r="H99" i="11"/>
  <c r="G99" i="11"/>
  <c r="F99" i="11"/>
  <c r="E99" i="11"/>
  <c r="D99" i="11"/>
  <c r="C99" i="11"/>
  <c r="B99" i="11"/>
  <c r="AE98" i="11"/>
  <c r="AD98" i="11"/>
  <c r="AC98" i="11"/>
  <c r="AB98" i="11"/>
  <c r="AA98" i="11"/>
  <c r="Z98" i="11"/>
  <c r="Y98" i="11"/>
  <c r="X98" i="11"/>
  <c r="W98" i="11"/>
  <c r="V98" i="11"/>
  <c r="U98" i="11"/>
  <c r="T98" i="11"/>
  <c r="S98" i="11"/>
  <c r="R98" i="11"/>
  <c r="Q98" i="11"/>
  <c r="P98" i="11"/>
  <c r="O98" i="11"/>
  <c r="N98" i="11"/>
  <c r="M98" i="11"/>
  <c r="L98" i="11"/>
  <c r="K98" i="11"/>
  <c r="J98" i="11"/>
  <c r="I98" i="11"/>
  <c r="H98" i="11"/>
  <c r="G98" i="11"/>
  <c r="F98" i="11"/>
  <c r="E98" i="11"/>
  <c r="D98" i="11"/>
  <c r="C98" i="11"/>
  <c r="B98" i="11"/>
  <c r="AE99" i="10"/>
  <c r="AD99" i="10"/>
  <c r="AC99" i="10"/>
  <c r="AB99" i="10"/>
  <c r="AA99" i="10"/>
  <c r="Z99" i="10"/>
  <c r="Y99" i="10"/>
  <c r="X99" i="10"/>
  <c r="W99" i="10"/>
  <c r="V99" i="10"/>
  <c r="U99" i="10"/>
  <c r="T99" i="10"/>
  <c r="S99" i="10"/>
  <c r="R99" i="10"/>
  <c r="Q99" i="10"/>
  <c r="P99" i="10"/>
  <c r="O99" i="10"/>
  <c r="N99" i="10"/>
  <c r="M99" i="10"/>
  <c r="L99" i="10"/>
  <c r="K99" i="10"/>
  <c r="J99" i="10"/>
  <c r="I99" i="10"/>
  <c r="H99" i="10"/>
  <c r="G99" i="10"/>
  <c r="F99" i="10"/>
  <c r="E99" i="10"/>
  <c r="D99" i="10"/>
  <c r="C99" i="10"/>
  <c r="B99" i="10"/>
  <c r="AE98" i="10"/>
  <c r="AD98" i="10"/>
  <c r="AC98" i="10"/>
  <c r="AB98" i="10"/>
  <c r="AA98" i="10"/>
  <c r="Z98" i="10"/>
  <c r="Y98" i="10"/>
  <c r="X98" i="10"/>
  <c r="W98" i="10"/>
  <c r="V98" i="10"/>
  <c r="U98" i="10"/>
  <c r="T98" i="10"/>
  <c r="S98" i="10"/>
  <c r="R98" i="10"/>
  <c r="Q98" i="10"/>
  <c r="P98" i="10"/>
  <c r="O98" i="10"/>
  <c r="N98" i="10"/>
  <c r="M98" i="10"/>
  <c r="L98" i="10"/>
  <c r="K98" i="10"/>
  <c r="J98" i="10"/>
  <c r="I98" i="10"/>
  <c r="H98" i="10"/>
  <c r="G98" i="10"/>
  <c r="F98" i="10"/>
  <c r="E98" i="10"/>
  <c r="D98" i="10"/>
  <c r="C98" i="10"/>
  <c r="B98" i="10"/>
  <c r="AE97" i="10"/>
  <c r="AD97" i="10"/>
  <c r="AC97" i="10"/>
  <c r="AB97" i="10"/>
  <c r="AA97" i="10"/>
  <c r="Z97" i="10"/>
  <c r="Y97" i="10"/>
  <c r="X97" i="10"/>
  <c r="W97" i="10"/>
  <c r="V97" i="10"/>
  <c r="U97" i="10"/>
  <c r="T97" i="10"/>
  <c r="S97" i="10"/>
  <c r="R97" i="10"/>
  <c r="Q97" i="10"/>
  <c r="P97" i="10"/>
  <c r="O97" i="10"/>
  <c r="N97" i="10"/>
  <c r="M97" i="10"/>
  <c r="L97" i="10"/>
  <c r="K97" i="10"/>
  <c r="J97" i="10"/>
  <c r="I97" i="10"/>
  <c r="H97" i="10"/>
  <c r="G97" i="10"/>
  <c r="F97" i="10"/>
  <c r="E97" i="10"/>
  <c r="D97" i="10"/>
  <c r="C97" i="10"/>
  <c r="B97" i="10"/>
  <c r="AE96" i="10"/>
  <c r="AD96" i="10"/>
  <c r="AC96" i="10"/>
  <c r="AB96" i="10"/>
  <c r="AA96" i="10"/>
  <c r="Z96" i="10"/>
  <c r="Y96" i="10"/>
  <c r="X96" i="10"/>
  <c r="W96" i="10"/>
  <c r="V96" i="10"/>
  <c r="U96" i="10"/>
  <c r="T96" i="10"/>
  <c r="S96" i="10"/>
  <c r="R96" i="10"/>
  <c r="Q96" i="10"/>
  <c r="P96" i="10"/>
  <c r="O96" i="10"/>
  <c r="N96" i="10"/>
  <c r="M96" i="10"/>
  <c r="L96" i="10"/>
  <c r="K96" i="10"/>
  <c r="J96" i="10"/>
  <c r="I96" i="10"/>
  <c r="H96" i="10"/>
  <c r="G96" i="10"/>
  <c r="F96" i="10"/>
  <c r="E96" i="10"/>
  <c r="D96" i="10"/>
  <c r="C96" i="10"/>
  <c r="B96" i="10"/>
  <c r="AE95" i="10"/>
  <c r="AD95" i="10"/>
  <c r="AC95" i="10"/>
  <c r="AB95" i="10"/>
  <c r="AA95" i="10"/>
  <c r="Z95" i="10"/>
  <c r="Y95" i="10"/>
  <c r="X95" i="10"/>
  <c r="W95" i="10"/>
  <c r="V95" i="10"/>
  <c r="U95" i="10"/>
  <c r="T95" i="10"/>
  <c r="S95" i="10"/>
  <c r="R95" i="10"/>
  <c r="Q95" i="10"/>
  <c r="P95" i="10"/>
  <c r="O95" i="10"/>
  <c r="N95" i="10"/>
  <c r="M95" i="10"/>
  <c r="L95" i="10"/>
  <c r="K95" i="10"/>
  <c r="J95" i="10"/>
  <c r="I95" i="10"/>
  <c r="H95" i="10"/>
  <c r="G95" i="10"/>
  <c r="F95" i="10"/>
  <c r="E95" i="10"/>
  <c r="D95" i="10"/>
  <c r="C95" i="10"/>
  <c r="B95" i="10"/>
  <c r="AE96" i="9"/>
  <c r="AD96" i="9"/>
  <c r="AC96" i="9"/>
  <c r="AB96" i="9"/>
  <c r="AA96" i="9"/>
  <c r="Z96" i="9"/>
  <c r="Y96" i="9"/>
  <c r="X96" i="9"/>
  <c r="W96" i="9"/>
  <c r="V96" i="9"/>
  <c r="U96" i="9"/>
  <c r="T96" i="9"/>
  <c r="R96" i="9"/>
  <c r="Q96" i="9"/>
  <c r="P96" i="9"/>
  <c r="O96" i="9"/>
  <c r="N96" i="9"/>
  <c r="M96" i="9"/>
  <c r="L96" i="9"/>
  <c r="K96" i="9"/>
  <c r="J96" i="9"/>
  <c r="I96" i="9"/>
  <c r="H96" i="9"/>
  <c r="G96" i="9"/>
  <c r="F96" i="9"/>
  <c r="E96" i="9"/>
  <c r="D96" i="9"/>
  <c r="C96" i="9"/>
  <c r="B96" i="9"/>
  <c r="AE95" i="9"/>
  <c r="AD95" i="9"/>
  <c r="AC95" i="9"/>
  <c r="AB95" i="9"/>
  <c r="AA95" i="9"/>
  <c r="Z95" i="9"/>
  <c r="Y95" i="9"/>
  <c r="X95" i="9"/>
  <c r="W95" i="9"/>
  <c r="V95" i="9"/>
  <c r="U95" i="9"/>
  <c r="T95" i="9"/>
  <c r="R95" i="9"/>
  <c r="Q95" i="9"/>
  <c r="P95" i="9"/>
  <c r="O95" i="9"/>
  <c r="N95" i="9"/>
  <c r="M95" i="9"/>
  <c r="L95" i="9"/>
  <c r="K95" i="9"/>
  <c r="J95" i="9"/>
  <c r="I95" i="9"/>
  <c r="H95" i="9"/>
  <c r="G95" i="9"/>
  <c r="F95" i="9"/>
  <c r="E95" i="9"/>
  <c r="D95" i="9"/>
  <c r="C95" i="9"/>
  <c r="B95" i="9"/>
  <c r="BM98" i="11" l="1"/>
  <c r="BM99" i="11"/>
  <c r="BL98" i="11"/>
  <c r="BL99" i="11"/>
  <c r="BM96" i="9"/>
  <c r="BM95" i="9"/>
  <c r="BL95" i="9"/>
  <c r="BL96" i="9"/>
  <c r="BM98" i="10"/>
  <c r="BL97" i="10"/>
  <c r="BM97" i="10"/>
  <c r="BM96" i="10"/>
  <c r="BM95" i="10"/>
  <c r="BM99" i="10"/>
  <c r="BL96" i="10"/>
  <c r="BL95" i="10"/>
  <c r="BL99" i="10"/>
  <c r="BL98" i="10"/>
  <c r="BC16" i="14"/>
  <c r="BC15" i="14"/>
  <c r="BC14" i="14"/>
  <c r="BC12" i="14"/>
  <c r="BC11" i="14"/>
  <c r="BC10" i="14"/>
  <c r="BC9" i="14"/>
  <c r="AG4" i="16" l="1"/>
  <c r="AG5" i="16"/>
  <c r="AG6" i="16"/>
  <c r="AG7" i="16"/>
  <c r="AG8" i="16"/>
  <c r="AG9" i="16"/>
  <c r="AG10" i="16"/>
  <c r="AG12" i="16"/>
  <c r="AG13" i="16"/>
  <c r="AG14" i="16"/>
  <c r="AC15" i="16"/>
  <c r="AD15" i="16"/>
  <c r="AE15" i="16"/>
  <c r="AF15" i="16"/>
  <c r="AG16" i="16"/>
  <c r="AG17" i="16"/>
  <c r="AG18" i="16"/>
  <c r="AC19" i="16"/>
  <c r="AD19" i="16"/>
  <c r="AE19" i="16"/>
  <c r="AF19" i="16"/>
  <c r="CK36" i="14"/>
  <c r="CI36" i="14"/>
  <c r="CH36" i="14"/>
  <c r="CF36" i="14"/>
  <c r="CE36" i="14"/>
  <c r="BZ36" i="14"/>
  <c r="BZ37" i="14" s="1"/>
  <c r="BY36" i="14"/>
  <c r="BW36" i="14"/>
  <c r="BV36" i="14"/>
  <c r="BP36" i="14"/>
  <c r="BN36" i="14"/>
  <c r="BM36" i="14"/>
  <c r="BK36" i="14"/>
  <c r="BJ36" i="14"/>
  <c r="BH36" i="14"/>
  <c r="BG36" i="14"/>
  <c r="BE36" i="14"/>
  <c r="BD36" i="14"/>
  <c r="BB36" i="14"/>
  <c r="BA36" i="14"/>
  <c r="AY36" i="14"/>
  <c r="AX36" i="14"/>
  <c r="AV36" i="14"/>
  <c r="AU36" i="14"/>
  <c r="AS36" i="14"/>
  <c r="AR36" i="14"/>
  <c r="AM36" i="14"/>
  <c r="AL36" i="14"/>
  <c r="AJ36" i="14"/>
  <c r="AI36" i="14"/>
  <c r="AG36" i="14"/>
  <c r="AF36" i="14"/>
  <c r="AA36" i="14"/>
  <c r="Z36" i="14"/>
  <c r="W36" i="14"/>
  <c r="U36" i="14"/>
  <c r="T36" i="14"/>
  <c r="R36" i="14"/>
  <c r="Q36" i="14"/>
  <c r="L36" i="14"/>
  <c r="K36" i="14"/>
  <c r="I36" i="14"/>
  <c r="H36" i="14"/>
  <c r="E36" i="14"/>
  <c r="C36" i="14"/>
  <c r="B36" i="14"/>
  <c r="CM35" i="14"/>
  <c r="CG35" i="14"/>
  <c r="CD35" i="14"/>
  <c r="CA35" i="14"/>
  <c r="BR35" i="14"/>
  <c r="BQ36" i="14"/>
  <c r="BO35" i="14"/>
  <c r="BL35" i="14"/>
  <c r="BI35" i="14"/>
  <c r="BF35" i="14"/>
  <c r="BC35" i="14"/>
  <c r="AZ35" i="14"/>
  <c r="AW35" i="14"/>
  <c r="AT35" i="14"/>
  <c r="AQ35" i="14"/>
  <c r="AN35" i="14"/>
  <c r="AK35" i="14"/>
  <c r="AH35" i="14"/>
  <c r="AE35" i="14"/>
  <c r="AB35" i="14"/>
  <c r="Y35" i="14"/>
  <c r="V35" i="14"/>
  <c r="S35" i="14"/>
  <c r="P35" i="14"/>
  <c r="N36" i="14"/>
  <c r="M35" i="14"/>
  <c r="J35" i="14"/>
  <c r="G35" i="14"/>
  <c r="D35" i="14"/>
  <c r="CM34" i="14"/>
  <c r="CG34" i="14"/>
  <c r="CD34" i="14"/>
  <c r="CA34" i="14"/>
  <c r="BR34" i="14"/>
  <c r="BO34" i="14"/>
  <c r="BI34" i="14"/>
  <c r="BF34" i="14"/>
  <c r="BC34" i="14"/>
  <c r="AZ34" i="14"/>
  <c r="AW34" i="14"/>
  <c r="AT34" i="14"/>
  <c r="AQ34" i="14"/>
  <c r="AN34" i="14"/>
  <c r="AK34" i="14"/>
  <c r="AH34" i="14"/>
  <c r="AE34" i="14"/>
  <c r="AB34" i="14"/>
  <c r="Y34" i="14"/>
  <c r="V34" i="14"/>
  <c r="S34" i="14"/>
  <c r="P34" i="14"/>
  <c r="M34" i="14"/>
  <c r="F36" i="14"/>
  <c r="D34" i="14"/>
  <c r="CM32" i="14"/>
  <c r="CG32" i="14"/>
  <c r="CD32" i="14"/>
  <c r="CA32" i="14"/>
  <c r="BX32" i="14"/>
  <c r="BR32" i="14"/>
  <c r="BO32" i="14"/>
  <c r="BL32" i="14"/>
  <c r="BI32" i="14"/>
  <c r="BF32" i="14"/>
  <c r="BC32" i="14"/>
  <c r="AZ32" i="14"/>
  <c r="AW32" i="14"/>
  <c r="AT32" i="14"/>
  <c r="AQ32" i="14"/>
  <c r="AN32" i="14"/>
  <c r="AK32" i="14"/>
  <c r="AH32" i="14"/>
  <c r="AE32" i="14"/>
  <c r="AB32" i="14"/>
  <c r="Y32" i="14"/>
  <c r="V32" i="14"/>
  <c r="S32" i="14"/>
  <c r="P32" i="14"/>
  <c r="M32" i="14"/>
  <c r="J32" i="14"/>
  <c r="G32" i="14"/>
  <c r="D32" i="14"/>
  <c r="X36" i="14"/>
  <c r="CM31" i="14"/>
  <c r="CG31" i="14"/>
  <c r="CD31" i="14"/>
  <c r="CA31" i="14"/>
  <c r="BX31" i="14"/>
  <c r="BR31" i="14"/>
  <c r="BO31" i="14"/>
  <c r="BL31" i="14"/>
  <c r="BI31" i="14"/>
  <c r="BF31" i="14"/>
  <c r="BC31" i="14"/>
  <c r="AZ31" i="14"/>
  <c r="AW31" i="14"/>
  <c r="AT31" i="14"/>
  <c r="AQ31" i="14"/>
  <c r="AN31" i="14"/>
  <c r="AK31" i="14"/>
  <c r="AH31" i="14"/>
  <c r="AE31" i="14"/>
  <c r="AB31" i="14"/>
  <c r="Y31" i="14"/>
  <c r="V31" i="14"/>
  <c r="S31" i="14"/>
  <c r="P31" i="14"/>
  <c r="M31" i="14"/>
  <c r="G31" i="14"/>
  <c r="D31" i="14"/>
  <c r="AP36" i="14"/>
  <c r="AO36" i="14"/>
  <c r="CM30" i="14"/>
  <c r="CG30" i="14"/>
  <c r="CD30" i="14"/>
  <c r="CA30" i="14"/>
  <c r="BR30" i="14"/>
  <c r="BO30" i="14"/>
  <c r="BI30" i="14"/>
  <c r="BF30" i="14"/>
  <c r="BC30" i="14"/>
  <c r="AZ30" i="14"/>
  <c r="AW30" i="14"/>
  <c r="AT30" i="14"/>
  <c r="AQ30" i="14"/>
  <c r="AN30" i="14"/>
  <c r="AK30" i="14"/>
  <c r="AH30" i="14"/>
  <c r="AE30" i="14"/>
  <c r="AB30" i="14"/>
  <c r="Y30" i="14"/>
  <c r="V30" i="14"/>
  <c r="S30" i="14"/>
  <c r="P30" i="14"/>
  <c r="M30" i="14"/>
  <c r="G30" i="14"/>
  <c r="D30" i="14"/>
  <c r="CM28" i="14"/>
  <c r="CG28" i="14"/>
  <c r="CD28" i="14"/>
  <c r="CA28" i="14"/>
  <c r="BR28" i="14"/>
  <c r="BO28" i="14"/>
  <c r="BI28" i="14"/>
  <c r="BF28" i="14"/>
  <c r="BC28" i="14"/>
  <c r="AZ28" i="14"/>
  <c r="AW28" i="14"/>
  <c r="AT28" i="14"/>
  <c r="AQ28" i="14"/>
  <c r="AN28" i="14"/>
  <c r="AK28" i="14"/>
  <c r="AH28" i="14"/>
  <c r="AE28" i="14"/>
  <c r="AB28" i="14"/>
  <c r="Y28" i="14"/>
  <c r="V28" i="14"/>
  <c r="S28" i="14"/>
  <c r="P28" i="14"/>
  <c r="M28" i="14"/>
  <c r="G28" i="14"/>
  <c r="D28" i="14"/>
  <c r="CM27" i="14"/>
  <c r="CG27" i="14"/>
  <c r="CD27" i="14"/>
  <c r="CA27" i="14"/>
  <c r="BX27" i="14"/>
  <c r="BR27" i="14"/>
  <c r="BO27" i="14"/>
  <c r="BI27" i="14"/>
  <c r="BF27" i="14"/>
  <c r="BC27" i="14"/>
  <c r="AZ27" i="14"/>
  <c r="AW27" i="14"/>
  <c r="AT27" i="14"/>
  <c r="AQ27" i="14"/>
  <c r="AN27" i="14"/>
  <c r="AK27" i="14"/>
  <c r="AH27" i="14"/>
  <c r="AE27" i="14"/>
  <c r="AB27" i="14"/>
  <c r="Y27" i="14"/>
  <c r="V27" i="14"/>
  <c r="S27" i="14"/>
  <c r="P27" i="14"/>
  <c r="M27" i="14"/>
  <c r="J27" i="14"/>
  <c r="G27" i="14"/>
  <c r="D27" i="14"/>
  <c r="CM26" i="14"/>
  <c r="CG26" i="14"/>
  <c r="CD26" i="14"/>
  <c r="CA26" i="14"/>
  <c r="BX26" i="14"/>
  <c r="BR26" i="14"/>
  <c r="BO26" i="14"/>
  <c r="BL26" i="14"/>
  <c r="BI26" i="14"/>
  <c r="BF26" i="14"/>
  <c r="BC26" i="14"/>
  <c r="AZ26" i="14"/>
  <c r="AW26" i="14"/>
  <c r="AT26" i="14"/>
  <c r="AQ26" i="14"/>
  <c r="AN26" i="14"/>
  <c r="AK26" i="14"/>
  <c r="AH26" i="14"/>
  <c r="AE26" i="14"/>
  <c r="AB26" i="14"/>
  <c r="Y26" i="14"/>
  <c r="V26" i="14"/>
  <c r="S26" i="14"/>
  <c r="P26" i="14"/>
  <c r="M26" i="14"/>
  <c r="J26" i="14"/>
  <c r="G26" i="14"/>
  <c r="D26" i="14"/>
  <c r="CM25" i="14"/>
  <c r="CG25" i="14"/>
  <c r="CD25" i="14"/>
  <c r="CA25" i="14"/>
  <c r="BX25" i="14"/>
  <c r="BR25" i="14"/>
  <c r="BO25" i="14"/>
  <c r="BL25" i="14"/>
  <c r="BI25" i="14"/>
  <c r="BF25" i="14"/>
  <c r="BC25" i="14"/>
  <c r="AZ25" i="14"/>
  <c r="AW25" i="14"/>
  <c r="AT25" i="14"/>
  <c r="AQ25" i="14"/>
  <c r="AN25" i="14"/>
  <c r="AK25" i="14"/>
  <c r="AH25" i="14"/>
  <c r="AE25" i="14"/>
  <c r="AB25" i="14"/>
  <c r="Y25" i="14"/>
  <c r="V25" i="14"/>
  <c r="S25" i="14"/>
  <c r="P25" i="14"/>
  <c r="M25" i="14"/>
  <c r="J25" i="14"/>
  <c r="G25" i="14"/>
  <c r="D25" i="14"/>
  <c r="CM24" i="14"/>
  <c r="CG24" i="14"/>
  <c r="CD24" i="14"/>
  <c r="CA24" i="14"/>
  <c r="BX24" i="14"/>
  <c r="BR24" i="14"/>
  <c r="BO24" i="14"/>
  <c r="BL24" i="14"/>
  <c r="BI24" i="14"/>
  <c r="BF24" i="14"/>
  <c r="BC24" i="14"/>
  <c r="AZ24" i="14"/>
  <c r="AW24" i="14"/>
  <c r="AT24" i="14"/>
  <c r="AQ24" i="14"/>
  <c r="AN24" i="14"/>
  <c r="AK24" i="14"/>
  <c r="AH24" i="14"/>
  <c r="AE24" i="14"/>
  <c r="AB24" i="14"/>
  <c r="Y24" i="14"/>
  <c r="V24" i="14"/>
  <c r="S24" i="14"/>
  <c r="P24" i="14"/>
  <c r="M24" i="14"/>
  <c r="J24" i="14"/>
  <c r="G24" i="14"/>
  <c r="D24" i="14"/>
  <c r="CL36" i="14"/>
  <c r="CG23" i="14"/>
  <c r="CD23" i="14"/>
  <c r="CA23" i="14"/>
  <c r="BR23" i="14"/>
  <c r="BO23" i="14"/>
  <c r="BL23" i="14"/>
  <c r="BI23" i="14"/>
  <c r="BF23" i="14"/>
  <c r="BC23" i="14"/>
  <c r="AZ23" i="14"/>
  <c r="AW23" i="14"/>
  <c r="AT23" i="14"/>
  <c r="AQ23" i="14"/>
  <c r="AN23" i="14"/>
  <c r="AK23" i="14"/>
  <c r="AH23" i="14"/>
  <c r="AE23" i="14"/>
  <c r="AB23" i="14"/>
  <c r="Y23" i="14"/>
  <c r="V23" i="14"/>
  <c r="S23" i="14"/>
  <c r="P23" i="14"/>
  <c r="M23" i="14"/>
  <c r="G23" i="14"/>
  <c r="D23" i="14"/>
  <c r="CM22" i="14"/>
  <c r="CG22" i="14"/>
  <c r="CD22" i="14"/>
  <c r="CA22" i="14"/>
  <c r="BR22" i="14"/>
  <c r="BO22" i="14"/>
  <c r="BI22" i="14"/>
  <c r="BF22" i="14"/>
  <c r="BC22" i="14"/>
  <c r="AZ22" i="14"/>
  <c r="AW22" i="14"/>
  <c r="AT22" i="14"/>
  <c r="AQ22" i="14"/>
  <c r="AN22" i="14"/>
  <c r="AK22" i="14"/>
  <c r="AH22" i="14"/>
  <c r="AE22" i="14"/>
  <c r="AD36" i="14"/>
  <c r="AC36" i="14"/>
  <c r="AB22" i="14"/>
  <c r="Y22" i="14"/>
  <c r="V22" i="14"/>
  <c r="S22" i="14"/>
  <c r="P22" i="14"/>
  <c r="M22" i="14"/>
  <c r="G22" i="14"/>
  <c r="D22" i="14"/>
  <c r="CL20" i="14"/>
  <c r="CI20" i="14"/>
  <c r="CH20" i="14"/>
  <c r="CF20" i="14"/>
  <c r="CE20" i="14"/>
  <c r="BY20" i="14"/>
  <c r="BW20" i="14"/>
  <c r="BV20" i="14"/>
  <c r="BN20" i="14"/>
  <c r="BM20" i="14"/>
  <c r="BK20" i="14"/>
  <c r="BJ20" i="14"/>
  <c r="BH20" i="14"/>
  <c r="BG20" i="14"/>
  <c r="BE20" i="14"/>
  <c r="BD20" i="14"/>
  <c r="BB20" i="14"/>
  <c r="BA20" i="14"/>
  <c r="AY20" i="14"/>
  <c r="AX20" i="14"/>
  <c r="AV20" i="14"/>
  <c r="AU20" i="14"/>
  <c r="AS20" i="14"/>
  <c r="AR20" i="14"/>
  <c r="AM20" i="14"/>
  <c r="AG20" i="14"/>
  <c r="AF20" i="14"/>
  <c r="AA20" i="14"/>
  <c r="Z20" i="14"/>
  <c r="X20" i="14"/>
  <c r="W20" i="14"/>
  <c r="U20" i="14"/>
  <c r="T20" i="14"/>
  <c r="L20" i="14"/>
  <c r="K20" i="14"/>
  <c r="I20" i="14"/>
  <c r="H20" i="14"/>
  <c r="E20" i="14"/>
  <c r="C20" i="14"/>
  <c r="B20" i="14"/>
  <c r="CM19" i="14"/>
  <c r="CG19" i="14"/>
  <c r="CD19" i="14"/>
  <c r="CA19" i="14"/>
  <c r="BR19" i="14"/>
  <c r="BP20" i="14"/>
  <c r="BO19" i="14"/>
  <c r="BL19" i="14"/>
  <c r="BI19" i="14"/>
  <c r="BF19" i="14"/>
  <c r="BC19" i="14"/>
  <c r="AZ19" i="14"/>
  <c r="AW19" i="14"/>
  <c r="AT19" i="14"/>
  <c r="AQ19" i="14"/>
  <c r="AN19" i="14"/>
  <c r="AJ20" i="14"/>
  <c r="AI20" i="14"/>
  <c r="AH19" i="14"/>
  <c r="AE19" i="14"/>
  <c r="AB19" i="14"/>
  <c r="Y19" i="14"/>
  <c r="V19" i="14"/>
  <c r="S19" i="14"/>
  <c r="Q20" i="14"/>
  <c r="O20" i="14"/>
  <c r="N20" i="14"/>
  <c r="M19" i="14"/>
  <c r="G19" i="14"/>
  <c r="D19" i="14"/>
  <c r="CM18" i="14"/>
  <c r="CG18" i="14"/>
  <c r="CD18" i="14"/>
  <c r="CB20" i="14"/>
  <c r="CB37" i="14" s="1"/>
  <c r="CA18" i="14"/>
  <c r="BR18" i="14"/>
  <c r="BO18" i="14"/>
  <c r="BI18" i="14"/>
  <c r="BF18" i="14"/>
  <c r="BC18" i="14"/>
  <c r="AZ18" i="14"/>
  <c r="AW18" i="14"/>
  <c r="AT18" i="14"/>
  <c r="AN18" i="14"/>
  <c r="AK18" i="14"/>
  <c r="AH18" i="14"/>
  <c r="AE18" i="14"/>
  <c r="AB18" i="14"/>
  <c r="Y18" i="14"/>
  <c r="V18" i="14"/>
  <c r="S18" i="14"/>
  <c r="P18" i="14"/>
  <c r="M18" i="14"/>
  <c r="F20" i="14"/>
  <c r="D18" i="14"/>
  <c r="CM17" i="14"/>
  <c r="CG17" i="14"/>
  <c r="CD17" i="14"/>
  <c r="CA17" i="14"/>
  <c r="BX17" i="14"/>
  <c r="BR17" i="14"/>
  <c r="BO17" i="14"/>
  <c r="BL17" i="14"/>
  <c r="BI17" i="14"/>
  <c r="BF17" i="14"/>
  <c r="BC17" i="14"/>
  <c r="AZ17" i="14"/>
  <c r="AW17" i="14"/>
  <c r="AT17" i="14"/>
  <c r="AN17" i="14"/>
  <c r="AK17" i="14"/>
  <c r="AH17" i="14"/>
  <c r="AE17" i="14"/>
  <c r="AB17" i="14"/>
  <c r="Y17" i="14"/>
  <c r="V17" i="14"/>
  <c r="S17" i="14"/>
  <c r="P17" i="14"/>
  <c r="M17" i="14"/>
  <c r="J17" i="14"/>
  <c r="G17" i="14"/>
  <c r="D17" i="14"/>
  <c r="CM16" i="14"/>
  <c r="CG16" i="14"/>
  <c r="CD16" i="14"/>
  <c r="CA16" i="14"/>
  <c r="BX16" i="14"/>
  <c r="BR16" i="14"/>
  <c r="BO16" i="14"/>
  <c r="BI16" i="14"/>
  <c r="BF16" i="14"/>
  <c r="AZ16" i="14"/>
  <c r="AW16" i="14"/>
  <c r="AT16" i="14"/>
  <c r="AN16" i="14"/>
  <c r="AK16" i="14"/>
  <c r="AH16" i="14"/>
  <c r="AE16" i="14"/>
  <c r="AB16" i="14"/>
  <c r="Y16" i="14"/>
  <c r="V16" i="14"/>
  <c r="S16" i="14"/>
  <c r="P16" i="14"/>
  <c r="M16" i="14"/>
  <c r="J16" i="14"/>
  <c r="G16" i="14"/>
  <c r="D16" i="14"/>
  <c r="AP20" i="14"/>
  <c r="AO20" i="14"/>
  <c r="CM15" i="14"/>
  <c r="CG15" i="14"/>
  <c r="CD15" i="14"/>
  <c r="CA15" i="14"/>
  <c r="BX15" i="14"/>
  <c r="BR15" i="14"/>
  <c r="BO15" i="14"/>
  <c r="BI15" i="14"/>
  <c r="BF15" i="14"/>
  <c r="AZ15" i="14"/>
  <c r="AW15" i="14"/>
  <c r="AT15" i="14"/>
  <c r="AN15" i="14"/>
  <c r="AK15" i="14"/>
  <c r="AH15" i="14"/>
  <c r="AE15" i="14"/>
  <c r="AB15" i="14"/>
  <c r="Y15" i="14"/>
  <c r="V15" i="14"/>
  <c r="S15" i="14"/>
  <c r="P15" i="14"/>
  <c r="M15" i="14"/>
  <c r="J15" i="14"/>
  <c r="G15" i="14"/>
  <c r="D15" i="14"/>
  <c r="CM14" i="14"/>
  <c r="CG14" i="14"/>
  <c r="CD14" i="14"/>
  <c r="CA14" i="14"/>
  <c r="BR14" i="14"/>
  <c r="BO14" i="14"/>
  <c r="BI14" i="14"/>
  <c r="BF14" i="14"/>
  <c r="AZ14" i="14"/>
  <c r="AW14" i="14"/>
  <c r="AT14" i="14"/>
  <c r="AN14" i="14"/>
  <c r="AK14" i="14"/>
  <c r="AH14" i="14"/>
  <c r="AE14" i="14"/>
  <c r="AB14" i="14"/>
  <c r="Y14" i="14"/>
  <c r="V14" i="14"/>
  <c r="S14" i="14"/>
  <c r="P14" i="14"/>
  <c r="M14" i="14"/>
  <c r="G14" i="14"/>
  <c r="D14" i="14"/>
  <c r="CM12" i="14"/>
  <c r="CG12" i="14"/>
  <c r="CD12" i="14"/>
  <c r="CA12" i="14"/>
  <c r="BX12" i="14"/>
  <c r="BR12" i="14"/>
  <c r="BO12" i="14"/>
  <c r="BL12" i="14"/>
  <c r="BI12" i="14"/>
  <c r="BF12" i="14"/>
  <c r="AZ12" i="14"/>
  <c r="AW12" i="14"/>
  <c r="AT12" i="14"/>
  <c r="AN12" i="14"/>
  <c r="AK12" i="14"/>
  <c r="AH12" i="14"/>
  <c r="AE12" i="14"/>
  <c r="AB12" i="14"/>
  <c r="Y12" i="14"/>
  <c r="V12" i="14"/>
  <c r="S12" i="14"/>
  <c r="P12" i="14"/>
  <c r="M12" i="14"/>
  <c r="J12" i="14"/>
  <c r="G12" i="14"/>
  <c r="D12" i="14"/>
  <c r="CM11" i="14"/>
  <c r="CG11" i="14"/>
  <c r="CD11" i="14"/>
  <c r="CA11" i="14"/>
  <c r="BX11" i="14"/>
  <c r="BR11" i="14"/>
  <c r="BO11" i="14"/>
  <c r="BI11" i="14"/>
  <c r="BF11" i="14"/>
  <c r="AZ11" i="14"/>
  <c r="AW11" i="14"/>
  <c r="AT11" i="14"/>
  <c r="AN11" i="14"/>
  <c r="AK11" i="14"/>
  <c r="AH11" i="14"/>
  <c r="AE11" i="14"/>
  <c r="AB11" i="14"/>
  <c r="Y11" i="14"/>
  <c r="V11" i="14"/>
  <c r="S11" i="14"/>
  <c r="P11" i="14"/>
  <c r="M11" i="14"/>
  <c r="J11" i="14"/>
  <c r="G11" i="14"/>
  <c r="D11" i="14"/>
  <c r="CM10" i="14"/>
  <c r="CG10" i="14"/>
  <c r="CD10" i="14"/>
  <c r="CA10" i="14"/>
  <c r="BR10" i="14"/>
  <c r="BO10" i="14"/>
  <c r="BI10" i="14"/>
  <c r="BF10" i="14"/>
  <c r="AZ10" i="14"/>
  <c r="AW10" i="14"/>
  <c r="AT10" i="14"/>
  <c r="AN10" i="14"/>
  <c r="AK10" i="14"/>
  <c r="AH10" i="14"/>
  <c r="AE10" i="14"/>
  <c r="AB10" i="14"/>
  <c r="Y10" i="14"/>
  <c r="V10" i="14"/>
  <c r="S10" i="14"/>
  <c r="P10" i="14"/>
  <c r="M10" i="14"/>
  <c r="G10" i="14"/>
  <c r="D10" i="14"/>
  <c r="CM9" i="14"/>
  <c r="CJ9" i="14"/>
  <c r="CG9" i="14"/>
  <c r="CD9" i="14"/>
  <c r="CA9" i="14"/>
  <c r="BX9" i="14"/>
  <c r="BR9" i="14"/>
  <c r="BO9" i="14"/>
  <c r="BL9" i="14"/>
  <c r="BI9" i="14"/>
  <c r="BF9" i="14"/>
  <c r="AZ9" i="14"/>
  <c r="AW9" i="14"/>
  <c r="AT9" i="14"/>
  <c r="AN9" i="14"/>
  <c r="AK9" i="14"/>
  <c r="AH9" i="14"/>
  <c r="AE9" i="14"/>
  <c r="AB9" i="14"/>
  <c r="Y9" i="14"/>
  <c r="V9" i="14"/>
  <c r="S9" i="14"/>
  <c r="P9" i="14"/>
  <c r="M9" i="14"/>
  <c r="J9" i="14"/>
  <c r="G9" i="14"/>
  <c r="D9" i="14"/>
  <c r="CM8" i="14"/>
  <c r="CJ8" i="14"/>
  <c r="CG8" i="14"/>
  <c r="CD8" i="14"/>
  <c r="CA8" i="14"/>
  <c r="BX8" i="14"/>
  <c r="BR8" i="14"/>
  <c r="BO8" i="14"/>
  <c r="BL8" i="14"/>
  <c r="BI8" i="14"/>
  <c r="BF8" i="14"/>
  <c r="BC8" i="14"/>
  <c r="AZ8" i="14"/>
  <c r="AW8" i="14"/>
  <c r="AT8" i="14"/>
  <c r="AN8" i="14"/>
  <c r="AK8" i="14"/>
  <c r="AH8" i="14"/>
  <c r="AE8" i="14"/>
  <c r="AB8" i="14"/>
  <c r="Y8" i="14"/>
  <c r="V8" i="14"/>
  <c r="S8" i="14"/>
  <c r="P8" i="14"/>
  <c r="M8" i="14"/>
  <c r="J8" i="14"/>
  <c r="G8" i="14"/>
  <c r="D8" i="14"/>
  <c r="CM7" i="14"/>
  <c r="CG7" i="14"/>
  <c r="CD7" i="14"/>
  <c r="CA7" i="14"/>
  <c r="BR7" i="14"/>
  <c r="BO7" i="14"/>
  <c r="BI7" i="14"/>
  <c r="BF7" i="14"/>
  <c r="AZ7" i="14"/>
  <c r="AW7" i="14"/>
  <c r="AT7" i="14"/>
  <c r="AN7" i="14"/>
  <c r="AK7" i="14"/>
  <c r="AH7" i="14"/>
  <c r="AE7" i="14"/>
  <c r="AB7" i="14"/>
  <c r="Y7" i="14"/>
  <c r="V7" i="14"/>
  <c r="S7" i="14"/>
  <c r="P7" i="14"/>
  <c r="M7" i="14"/>
  <c r="G7" i="14"/>
  <c r="D7" i="14"/>
  <c r="CM6" i="14"/>
  <c r="CG6" i="14"/>
  <c r="CD6" i="14"/>
  <c r="CA6" i="14"/>
  <c r="BR6" i="14"/>
  <c r="BO6" i="14"/>
  <c r="BI6" i="14"/>
  <c r="BF6" i="14"/>
  <c r="AZ6" i="14"/>
  <c r="AW6" i="14"/>
  <c r="AT6" i="14"/>
  <c r="AN6" i="14"/>
  <c r="AK6" i="14"/>
  <c r="AH6" i="14"/>
  <c r="AD20" i="14"/>
  <c r="AC20" i="14"/>
  <c r="AB6" i="14"/>
  <c r="Y6" i="14"/>
  <c r="V6" i="14"/>
  <c r="S6" i="14"/>
  <c r="P6" i="14"/>
  <c r="M6" i="14"/>
  <c r="G6" i="14"/>
  <c r="D6" i="14"/>
  <c r="BY37" i="14" l="1"/>
  <c r="BX36" i="14"/>
  <c r="BL36" i="14"/>
  <c r="BL20" i="14"/>
  <c r="I37" i="14"/>
  <c r="V36" i="14"/>
  <c r="AI37" i="14"/>
  <c r="AY37" i="14"/>
  <c r="BC20" i="14"/>
  <c r="J36" i="14"/>
  <c r="AT36" i="14"/>
  <c r="BF20" i="14"/>
  <c r="B37" i="14"/>
  <c r="AR37" i="14"/>
  <c r="BD37" i="14"/>
  <c r="V20" i="14"/>
  <c r="BX20" i="14"/>
  <c r="BF36" i="14"/>
  <c r="AT20" i="14"/>
  <c r="J20" i="14"/>
  <c r="BG37" i="14"/>
  <c r="AC37" i="14"/>
  <c r="C37" i="14"/>
  <c r="AS37" i="14"/>
  <c r="BE37" i="14"/>
  <c r="BV37" i="14"/>
  <c r="AF37" i="14"/>
  <c r="BW37" i="14"/>
  <c r="H37" i="14"/>
  <c r="T37" i="14"/>
  <c r="U37" i="14"/>
  <c r="BJ37" i="14"/>
  <c r="BK37" i="14"/>
  <c r="P36" i="14"/>
  <c r="D36" i="14"/>
  <c r="D20" i="14"/>
  <c r="E37" i="14"/>
  <c r="K37" i="14"/>
  <c r="L37" i="14"/>
  <c r="M20" i="14"/>
  <c r="M36" i="14"/>
  <c r="S36" i="14"/>
  <c r="Q37" i="14"/>
  <c r="S20" i="14"/>
  <c r="Y20" i="14"/>
  <c r="X37" i="14"/>
  <c r="W37" i="14"/>
  <c r="AH36" i="14"/>
  <c r="AE36" i="14"/>
  <c r="AG37" i="14"/>
  <c r="AH20" i="14"/>
  <c r="AN20" i="14"/>
  <c r="AL37" i="14"/>
  <c r="AM37" i="14"/>
  <c r="AK36" i="14"/>
  <c r="AN36" i="14"/>
  <c r="BC36" i="14"/>
  <c r="AZ36" i="14"/>
  <c r="AW36" i="14"/>
  <c r="AU37" i="14"/>
  <c r="AV37" i="14"/>
  <c r="AW20" i="14"/>
  <c r="AX37" i="14"/>
  <c r="AZ20" i="14"/>
  <c r="BA37" i="14"/>
  <c r="BB37" i="14"/>
  <c r="BI20" i="14"/>
  <c r="BH37" i="14"/>
  <c r="BO20" i="14"/>
  <c r="BM37" i="14"/>
  <c r="BN37" i="14"/>
  <c r="BI36" i="14"/>
  <c r="BO36" i="14"/>
  <c r="CA36" i="14"/>
  <c r="BR36" i="14"/>
  <c r="BR20" i="14"/>
  <c r="CA20" i="14"/>
  <c r="CD20" i="14"/>
  <c r="CG20" i="14"/>
  <c r="CE37" i="14"/>
  <c r="CG36" i="14"/>
  <c r="CF37" i="14"/>
  <c r="CI37" i="14"/>
  <c r="CJ20" i="14"/>
  <c r="CJ36" i="14"/>
  <c r="CH37" i="14"/>
  <c r="CM36" i="14"/>
  <c r="CL37" i="14"/>
  <c r="CM20" i="14"/>
  <c r="AA37" i="14"/>
  <c r="AB36" i="14"/>
  <c r="AB20" i="14"/>
  <c r="Z37" i="14"/>
  <c r="AG19" i="16"/>
  <c r="AG11" i="16"/>
  <c r="AG15" i="16"/>
  <c r="AP37" i="14"/>
  <c r="BP37" i="14"/>
  <c r="AD37" i="14"/>
  <c r="N37" i="14"/>
  <c r="CD36" i="14"/>
  <c r="AO37" i="14"/>
  <c r="F37" i="14"/>
  <c r="AJ37" i="14"/>
  <c r="AK19" i="14"/>
  <c r="AK20" i="14" s="1"/>
  <c r="BQ20" i="14"/>
  <c r="BQ37" i="14" s="1"/>
  <c r="AE6" i="14"/>
  <c r="AE20" i="14" s="1"/>
  <c r="CC20" i="14"/>
  <c r="CC37" i="14" s="1"/>
  <c r="CK20" i="14"/>
  <c r="CK37" i="14" s="1"/>
  <c r="Y36" i="14"/>
  <c r="R20" i="14"/>
  <c r="R37" i="14" s="1"/>
  <c r="O36" i="14"/>
  <c r="O37" i="14" s="1"/>
  <c r="G18" i="14"/>
  <c r="G20" i="14" s="1"/>
  <c r="AQ20" i="14"/>
  <c r="P19" i="14"/>
  <c r="P20" i="14" s="1"/>
  <c r="AQ36" i="14"/>
  <c r="G34" i="14"/>
  <c r="G36" i="14" s="1"/>
  <c r="BX37" i="14" l="1"/>
  <c r="BF37" i="14"/>
  <c r="BL37" i="14"/>
  <c r="J37" i="14"/>
  <c r="V37" i="14"/>
  <c r="AT37" i="14"/>
  <c r="CD37" i="14"/>
  <c r="M37" i="14"/>
  <c r="S37" i="14"/>
  <c r="BC37" i="14"/>
  <c r="AK37" i="14"/>
  <c r="AZ37" i="14"/>
  <c r="D37" i="14"/>
  <c r="BR37" i="14"/>
  <c r="AE37" i="14"/>
  <c r="Y37" i="14"/>
  <c r="AW37" i="14"/>
  <c r="CG37" i="14"/>
  <c r="P37" i="14"/>
  <c r="G37" i="14"/>
  <c r="AH37" i="14"/>
  <c r="AN37" i="14"/>
  <c r="AQ37" i="14"/>
  <c r="BI37" i="14"/>
  <c r="BO37" i="14"/>
  <c r="CA37" i="14"/>
  <c r="CJ37" i="14"/>
  <c r="CM37" i="14"/>
  <c r="AB37" i="14"/>
  <c r="AE23" i="7" l="1"/>
  <c r="AE25" i="7" s="1"/>
  <c r="AD23" i="7"/>
  <c r="AD25" i="7" s="1"/>
  <c r="AC23" i="7"/>
  <c r="AC25" i="7" s="1"/>
  <c r="AB23" i="7"/>
  <c r="AB25" i="7" s="1"/>
  <c r="AA23" i="7"/>
  <c r="AA25" i="7" s="1"/>
  <c r="Z23" i="7"/>
  <c r="Z25" i="7" s="1"/>
  <c r="Y23" i="7"/>
  <c r="Y25" i="7" s="1"/>
  <c r="X23" i="7"/>
  <c r="X25" i="7" s="1"/>
  <c r="W23" i="7"/>
  <c r="W25" i="7" s="1"/>
  <c r="V23" i="7"/>
  <c r="V25" i="7" s="1"/>
  <c r="U23" i="7"/>
  <c r="U25" i="7" s="1"/>
  <c r="T23" i="7"/>
  <c r="T25" i="7" s="1"/>
  <c r="Q23" i="7"/>
  <c r="Q25" i="7" s="1"/>
  <c r="P23" i="7"/>
  <c r="P25" i="7" s="1"/>
  <c r="O23" i="7"/>
  <c r="O25" i="7" s="1"/>
  <c r="N23" i="7"/>
  <c r="N25" i="7" s="1"/>
  <c r="M23" i="7"/>
  <c r="M25" i="7" s="1"/>
  <c r="L23" i="7"/>
  <c r="L25" i="7" s="1"/>
  <c r="K23" i="7"/>
  <c r="K25" i="7" s="1"/>
  <c r="J23" i="7"/>
  <c r="J25" i="7" s="1"/>
  <c r="I23" i="7"/>
  <c r="I25" i="7" s="1"/>
  <c r="H23" i="7"/>
  <c r="H25" i="7" s="1"/>
  <c r="G23" i="7"/>
  <c r="G25" i="7" s="1"/>
  <c r="F23" i="7"/>
  <c r="F25" i="7" s="1"/>
  <c r="E23" i="7"/>
  <c r="D23" i="7"/>
  <c r="C23" i="7"/>
  <c r="AE21" i="7"/>
  <c r="AD21" i="7"/>
  <c r="AC21" i="7"/>
  <c r="AB21" i="7"/>
  <c r="AA21" i="7"/>
  <c r="Z21" i="7"/>
  <c r="Y21" i="7"/>
  <c r="X21" i="7"/>
  <c r="W21" i="7"/>
  <c r="V21" i="7"/>
  <c r="U21" i="7"/>
  <c r="T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AE15" i="7"/>
  <c r="AD15" i="7"/>
  <c r="AC15" i="7"/>
  <c r="AB15" i="7"/>
  <c r="AA15" i="7"/>
  <c r="Z15" i="7"/>
  <c r="Y15" i="7"/>
  <c r="X15" i="7"/>
  <c r="W15" i="7"/>
  <c r="V15" i="7"/>
  <c r="U15" i="7"/>
  <c r="T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23" i="7"/>
  <c r="B21" i="7"/>
  <c r="B15" i="7"/>
  <c r="AG31" i="8"/>
  <c r="AG30" i="8"/>
  <c r="AG29" i="8"/>
  <c r="AG26" i="8"/>
  <c r="AG25" i="8"/>
  <c r="AG22" i="8"/>
  <c r="AG21" i="8"/>
  <c r="AG19" i="8"/>
  <c r="AG18" i="8"/>
  <c r="AG17" i="8"/>
  <c r="AG15" i="8"/>
  <c r="AG14" i="8"/>
  <c r="AG10" i="8"/>
  <c r="AG9" i="8"/>
  <c r="AG6" i="8"/>
  <c r="AG5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23" i="8"/>
  <c r="B11" i="8"/>
  <c r="AE100" i="9"/>
  <c r="AD100" i="9"/>
  <c r="AC100" i="9"/>
  <c r="AB100" i="9"/>
  <c r="AA100" i="9"/>
  <c r="Z100" i="9"/>
  <c r="Y100" i="9"/>
  <c r="X100" i="9"/>
  <c r="W100" i="9"/>
  <c r="V100" i="9"/>
  <c r="U100" i="9"/>
  <c r="T100" i="9"/>
  <c r="R100" i="9"/>
  <c r="Q100" i="9"/>
  <c r="P100" i="9"/>
  <c r="O100" i="9"/>
  <c r="N100" i="9"/>
  <c r="M100" i="9"/>
  <c r="L100" i="9"/>
  <c r="K100" i="9"/>
  <c r="J100" i="9"/>
  <c r="I100" i="9"/>
  <c r="H100" i="9"/>
  <c r="G100" i="9"/>
  <c r="F100" i="9"/>
  <c r="E100" i="9"/>
  <c r="D100" i="9"/>
  <c r="C100" i="9"/>
  <c r="AE97" i="9"/>
  <c r="AD97" i="9"/>
  <c r="AC97" i="9"/>
  <c r="AB97" i="9"/>
  <c r="AA97" i="9"/>
  <c r="Z97" i="9"/>
  <c r="Y97" i="9"/>
  <c r="X97" i="9"/>
  <c r="W97" i="9"/>
  <c r="V97" i="9"/>
  <c r="U97" i="9"/>
  <c r="T97" i="9"/>
  <c r="R97" i="9"/>
  <c r="Q97" i="9"/>
  <c r="P97" i="9"/>
  <c r="O97" i="9"/>
  <c r="N97" i="9"/>
  <c r="M97" i="9"/>
  <c r="L97" i="9"/>
  <c r="K97" i="9"/>
  <c r="J97" i="9"/>
  <c r="I97" i="9"/>
  <c r="H97" i="9"/>
  <c r="G97" i="9"/>
  <c r="F97" i="9"/>
  <c r="E97" i="9"/>
  <c r="D97" i="9"/>
  <c r="C97" i="9"/>
  <c r="AE94" i="9"/>
  <c r="AD94" i="9"/>
  <c r="AC94" i="9"/>
  <c r="AB94" i="9"/>
  <c r="AA94" i="9"/>
  <c r="Z94" i="9"/>
  <c r="Y94" i="9"/>
  <c r="X94" i="9"/>
  <c r="W94" i="9"/>
  <c r="V94" i="9"/>
  <c r="U94" i="9"/>
  <c r="T94" i="9"/>
  <c r="R94" i="9"/>
  <c r="Q94" i="9"/>
  <c r="P94" i="9"/>
  <c r="O94" i="9"/>
  <c r="N94" i="9"/>
  <c r="M94" i="9"/>
  <c r="L94" i="9"/>
  <c r="K94" i="9"/>
  <c r="J94" i="9"/>
  <c r="I94" i="9"/>
  <c r="H94" i="9"/>
  <c r="G94" i="9"/>
  <c r="F94" i="9"/>
  <c r="E94" i="9"/>
  <c r="D94" i="9"/>
  <c r="C94" i="9"/>
  <c r="B100" i="9"/>
  <c r="B97" i="9"/>
  <c r="B94" i="9"/>
  <c r="AE100" i="10"/>
  <c r="AD100" i="10"/>
  <c r="AC100" i="10"/>
  <c r="AB100" i="10"/>
  <c r="AA100" i="10"/>
  <c r="Z100" i="10"/>
  <c r="Y100" i="10"/>
  <c r="X100" i="10"/>
  <c r="W100" i="10"/>
  <c r="V100" i="10"/>
  <c r="U100" i="10"/>
  <c r="T100" i="10"/>
  <c r="S100" i="10"/>
  <c r="R100" i="10"/>
  <c r="Q100" i="10"/>
  <c r="P100" i="10"/>
  <c r="O100" i="10"/>
  <c r="N100" i="10"/>
  <c r="M100" i="10"/>
  <c r="L100" i="10"/>
  <c r="K100" i="10"/>
  <c r="J100" i="10"/>
  <c r="I100" i="10"/>
  <c r="H100" i="10"/>
  <c r="G100" i="10"/>
  <c r="F100" i="10"/>
  <c r="E100" i="10"/>
  <c r="D100" i="10"/>
  <c r="C100" i="10"/>
  <c r="AE94" i="10"/>
  <c r="AD94" i="10"/>
  <c r="AC94" i="10"/>
  <c r="AB94" i="10"/>
  <c r="AA94" i="10"/>
  <c r="Z94" i="10"/>
  <c r="Y94" i="10"/>
  <c r="X94" i="10"/>
  <c r="W94" i="10"/>
  <c r="V94" i="10"/>
  <c r="U94" i="10"/>
  <c r="T94" i="10"/>
  <c r="S94" i="10"/>
  <c r="R94" i="10"/>
  <c r="Q94" i="10"/>
  <c r="P94" i="10"/>
  <c r="O94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B100" i="10"/>
  <c r="B94" i="10"/>
  <c r="AE100" i="11"/>
  <c r="AD100" i="11"/>
  <c r="AC100" i="11"/>
  <c r="AB100" i="11"/>
  <c r="AA100" i="11"/>
  <c r="Z100" i="11"/>
  <c r="Y100" i="11"/>
  <c r="X100" i="11"/>
  <c r="W100" i="11"/>
  <c r="V100" i="11"/>
  <c r="U100" i="11"/>
  <c r="T100" i="11"/>
  <c r="S100" i="11"/>
  <c r="R100" i="11"/>
  <c r="Q100" i="11"/>
  <c r="P100" i="11"/>
  <c r="O100" i="11"/>
  <c r="N100" i="11"/>
  <c r="M100" i="11"/>
  <c r="L100" i="11"/>
  <c r="K100" i="11"/>
  <c r="J100" i="11"/>
  <c r="I100" i="11"/>
  <c r="H100" i="11"/>
  <c r="G100" i="11"/>
  <c r="F100" i="11"/>
  <c r="E100" i="11"/>
  <c r="D100" i="11"/>
  <c r="C100" i="11"/>
  <c r="AE94" i="11"/>
  <c r="AD94" i="11"/>
  <c r="AC94" i="11"/>
  <c r="AB94" i="11"/>
  <c r="AA94" i="11"/>
  <c r="Z94" i="11"/>
  <c r="Y94" i="11"/>
  <c r="X94" i="11"/>
  <c r="W94" i="11"/>
  <c r="V94" i="11"/>
  <c r="U94" i="11"/>
  <c r="T94" i="11"/>
  <c r="S94" i="11"/>
  <c r="R94" i="11"/>
  <c r="Q94" i="11"/>
  <c r="P94" i="11"/>
  <c r="O94" i="11"/>
  <c r="N94" i="11"/>
  <c r="M94" i="11"/>
  <c r="L94" i="11"/>
  <c r="K94" i="11"/>
  <c r="J94" i="11"/>
  <c r="I94" i="11"/>
  <c r="H94" i="11"/>
  <c r="G94" i="11"/>
  <c r="F94" i="11"/>
  <c r="E94" i="11"/>
  <c r="D94" i="11"/>
  <c r="C94" i="11"/>
  <c r="B100" i="11"/>
  <c r="B94" i="11"/>
  <c r="BM21" i="7" l="1"/>
  <c r="BL21" i="7"/>
  <c r="BL15" i="7"/>
  <c r="BM15" i="7"/>
  <c r="E25" i="7"/>
  <c r="BM25" i="7" s="1"/>
  <c r="BM23" i="7"/>
  <c r="D25" i="7"/>
  <c r="BL25" i="7" s="1"/>
  <c r="BL23" i="7"/>
  <c r="BM94" i="11"/>
  <c r="BM97" i="9"/>
  <c r="BL94" i="11"/>
  <c r="BL97" i="9"/>
  <c r="BM100" i="11"/>
  <c r="BL100" i="11"/>
  <c r="BL100" i="9"/>
  <c r="BM100" i="9"/>
  <c r="BM94" i="9"/>
  <c r="BL94" i="9"/>
  <c r="BL100" i="10"/>
  <c r="BM94" i="10"/>
  <c r="BM100" i="10"/>
  <c r="BL94" i="10"/>
  <c r="H28" i="8"/>
  <c r="T28" i="8"/>
  <c r="D28" i="8"/>
  <c r="AF28" i="8"/>
  <c r="B25" i="7"/>
  <c r="C25" i="7"/>
  <c r="B28" i="8"/>
  <c r="AE28" i="8"/>
  <c r="O28" i="8"/>
  <c r="R28" i="8"/>
  <c r="F28" i="8"/>
  <c r="M28" i="8"/>
  <c r="C28" i="8"/>
  <c r="J28" i="8"/>
  <c r="Q28" i="8"/>
  <c r="V28" i="8"/>
  <c r="AC28" i="8"/>
  <c r="Y28" i="8"/>
  <c r="X28" i="8"/>
  <c r="U28" i="8"/>
  <c r="S28" i="8"/>
  <c r="G28" i="8"/>
  <c r="E28" i="8"/>
  <c r="AD28" i="8"/>
  <c r="AB28" i="8"/>
  <c r="AA28" i="8"/>
  <c r="Z28" i="8"/>
  <c r="W28" i="8"/>
  <c r="P28" i="8"/>
  <c r="N28" i="8"/>
  <c r="L28" i="8"/>
  <c r="K28" i="8"/>
  <c r="I28" i="8"/>
  <c r="AG16" i="8"/>
  <c r="AG27" i="8"/>
  <c r="AG23" i="8"/>
  <c r="AG28" i="8" l="1"/>
  <c r="AG13" i="18"/>
  <c r="AG12" i="18"/>
  <c r="AG11" i="18"/>
  <c r="AG10" i="18"/>
  <c r="AG9" i="18"/>
  <c r="AG8" i="18"/>
  <c r="AG7" i="18"/>
  <c r="AG6" i="18"/>
  <c r="AG5" i="18"/>
  <c r="AG4" i="18"/>
  <c r="AF14" i="18"/>
  <c r="AE14" i="18"/>
  <c r="AD14" i="18"/>
  <c r="AC14" i="18"/>
  <c r="AG14" i="17"/>
  <c r="AG13" i="17"/>
  <c r="AG12" i="17"/>
  <c r="AG11" i="17"/>
  <c r="AG10" i="17"/>
  <c r="AG9" i="17"/>
  <c r="AG8" i="17"/>
  <c r="AG7" i="17"/>
  <c r="AG6" i="17"/>
  <c r="AG5" i="17"/>
  <c r="AG4" i="17"/>
  <c r="AF15" i="17"/>
  <c r="AE15" i="17"/>
  <c r="AD15" i="17"/>
  <c r="AC15" i="17"/>
  <c r="AG31" i="15"/>
  <c r="AG30" i="15"/>
  <c r="AG27" i="15"/>
  <c r="AG26" i="15"/>
  <c r="AG25" i="15"/>
  <c r="AG24" i="15"/>
  <c r="AG23" i="15"/>
  <c r="AG22" i="15"/>
  <c r="AG21" i="15"/>
  <c r="AG18" i="15"/>
  <c r="AG17" i="15"/>
  <c r="AG16" i="15"/>
  <c r="AG15" i="15"/>
  <c r="AG14" i="15"/>
  <c r="AG11" i="15"/>
  <c r="AG10" i="15"/>
  <c r="AG9" i="15"/>
  <c r="AG8" i="15"/>
  <c r="AG7" i="15"/>
  <c r="AG6" i="15"/>
  <c r="AG5" i="15"/>
  <c r="AF32" i="15"/>
  <c r="AE32" i="15"/>
  <c r="AD32" i="15"/>
  <c r="AC32" i="15"/>
  <c r="AF28" i="15"/>
  <c r="AE28" i="15"/>
  <c r="AD28" i="15"/>
  <c r="AC28" i="15"/>
  <c r="AF19" i="15"/>
  <c r="AE19" i="15"/>
  <c r="AD19" i="15"/>
  <c r="AC19" i="15"/>
  <c r="AF12" i="15"/>
  <c r="AE12" i="15"/>
  <c r="AD12" i="15"/>
  <c r="AC12" i="15"/>
  <c r="AG10" i="13"/>
  <c r="AG8" i="13"/>
  <c r="AG7" i="13"/>
  <c r="AG6" i="13"/>
  <c r="AG5" i="13"/>
  <c r="AG4" i="13"/>
  <c r="AF9" i="13"/>
  <c r="AE9" i="13"/>
  <c r="AD9" i="13"/>
  <c r="AC9" i="13"/>
  <c r="AG32" i="15" l="1"/>
  <c r="AG19" i="15"/>
  <c r="AG28" i="15"/>
  <c r="AG12" i="15"/>
  <c r="AG15" i="17"/>
  <c r="BJ8" i="1"/>
  <c r="BH8" i="1"/>
  <c r="BD8" i="1"/>
  <c r="BB8" i="1"/>
  <c r="AZ8" i="1"/>
  <c r="AX8" i="1"/>
  <c r="AV8" i="1"/>
  <c r="AT8" i="1"/>
  <c r="AR8" i="1"/>
  <c r="AP8" i="1"/>
  <c r="AN8" i="1"/>
  <c r="AH8" i="1"/>
  <c r="AF8" i="1"/>
  <c r="AD8" i="1"/>
  <c r="AB8" i="1"/>
  <c r="Z8" i="1"/>
  <c r="X8" i="1"/>
  <c r="V8" i="1"/>
  <c r="R8" i="1"/>
  <c r="P8" i="1"/>
  <c r="N8" i="1"/>
  <c r="L8" i="1"/>
  <c r="J8" i="1"/>
  <c r="B8" i="1"/>
  <c r="BJ15" i="1" l="1"/>
  <c r="BH15" i="1"/>
  <c r="BD15" i="1"/>
  <c r="BB15" i="1"/>
  <c r="AZ15" i="1"/>
  <c r="AX15" i="1"/>
  <c r="AV15" i="1"/>
  <c r="AT15" i="1"/>
  <c r="AR15" i="1"/>
  <c r="AP15" i="1"/>
  <c r="AN15" i="1"/>
  <c r="AH15" i="1"/>
  <c r="AF15" i="1"/>
  <c r="AD15" i="1"/>
  <c r="AB15" i="1"/>
  <c r="Z15" i="1"/>
  <c r="X15" i="1"/>
  <c r="V15" i="1"/>
  <c r="T15" i="1"/>
  <c r="R15" i="1"/>
  <c r="P15" i="1"/>
  <c r="N15" i="1"/>
  <c r="L15" i="1"/>
  <c r="J15" i="1"/>
  <c r="B15" i="1"/>
  <c r="BJ13" i="1"/>
  <c r="BH13" i="1"/>
  <c r="BD13" i="1"/>
  <c r="BB13" i="1"/>
  <c r="AZ13" i="1"/>
  <c r="AX13" i="1"/>
  <c r="AV13" i="1"/>
  <c r="AT13" i="1"/>
  <c r="AR13" i="1"/>
  <c r="AP13" i="1"/>
  <c r="AN13" i="1"/>
  <c r="AL13" i="1"/>
  <c r="AH13" i="1"/>
  <c r="AF13" i="1"/>
  <c r="AD13" i="1"/>
  <c r="AB13" i="1"/>
  <c r="Z13" i="1"/>
  <c r="X13" i="1"/>
  <c r="V13" i="1"/>
  <c r="T13" i="1"/>
  <c r="R13" i="1"/>
  <c r="P13" i="1"/>
  <c r="N13" i="1"/>
  <c r="L13" i="1"/>
  <c r="J13" i="1"/>
  <c r="B13" i="1"/>
  <c r="AM8" i="1" l="1"/>
  <c r="AM15" i="1"/>
  <c r="AL8" i="1"/>
  <c r="AL15" i="1"/>
  <c r="AJ15" i="7" l="1"/>
  <c r="AK15" i="7"/>
  <c r="AJ21" i="7"/>
  <c r="AJ23" i="7"/>
  <c r="AK21" i="7"/>
  <c r="AK23" i="7"/>
  <c r="AK25" i="7" l="1"/>
  <c r="AJ25" i="7"/>
  <c r="AK8" i="1"/>
  <c r="BM8" i="1" s="1"/>
  <c r="AJ8" i="1"/>
  <c r="BL8" i="1" s="1"/>
  <c r="AK13" i="1"/>
  <c r="BM13" i="1" s="1"/>
  <c r="AK15" i="1"/>
  <c r="BM15" i="1" s="1"/>
  <c r="AJ13" i="1"/>
  <c r="BL13" i="1" s="1"/>
  <c r="AJ15" i="1"/>
  <c r="BL15" i="1" s="1"/>
  <c r="AG12" i="8"/>
  <c r="S11" i="8"/>
  <c r="AG11" i="8" s="1"/>
  <c r="AG11" i="13"/>
  <c r="AG9" i="13"/>
  <c r="AG15" i="18"/>
  <c r="AG14" i="18"/>
</calcChain>
</file>

<file path=xl/sharedStrings.xml><?xml version="1.0" encoding="utf-8"?>
<sst xmlns="http://schemas.openxmlformats.org/spreadsheetml/2006/main" count="5196" uniqueCount="332">
  <si>
    <t>Particulars</t>
  </si>
  <si>
    <t>Acko</t>
  </si>
  <si>
    <t>AICL</t>
  </si>
  <si>
    <t>Bajaj Allianz</t>
  </si>
  <si>
    <t>Edelweiss</t>
  </si>
  <si>
    <t>ECGC</t>
  </si>
  <si>
    <t>Future Generali</t>
  </si>
  <si>
    <t>HDFC Ergo</t>
  </si>
  <si>
    <t>ICICI Lombard</t>
  </si>
  <si>
    <t>Iffco Tokio</t>
  </si>
  <si>
    <t>Liberty</t>
  </si>
  <si>
    <t>Magma HDI</t>
  </si>
  <si>
    <t>National</t>
  </si>
  <si>
    <t>Royal Sundaram</t>
  </si>
  <si>
    <t>SBI</t>
  </si>
  <si>
    <t>Shriram</t>
  </si>
  <si>
    <t>Star Health</t>
  </si>
  <si>
    <t>Tata AIG</t>
  </si>
  <si>
    <t>United India</t>
  </si>
  <si>
    <t>Universal Sompo</t>
  </si>
  <si>
    <t>Industry Total</t>
  </si>
  <si>
    <t>Premiums earned (Net)</t>
  </si>
  <si>
    <t>Profit/ Loss on sale/redemption of Investments</t>
  </si>
  <si>
    <t>Other Income</t>
  </si>
  <si>
    <t>Interest, Dividend &amp; Rent – Gross</t>
  </si>
  <si>
    <t>TOTAL (A)</t>
  </si>
  <si>
    <t>Claims Incurred (Net)</t>
  </si>
  <si>
    <t>Commission</t>
  </si>
  <si>
    <t>Operating Expenses related to Insurance Business</t>
  </si>
  <si>
    <t>TOTAL (B)</t>
  </si>
  <si>
    <t>Operating profit / (loss) (A-B)</t>
  </si>
  <si>
    <t>Others</t>
  </si>
  <si>
    <t>NL-1 Revenue Account</t>
  </si>
  <si>
    <t>Capital Reserve</t>
  </si>
  <si>
    <t>Capital Redemption Reserve</t>
  </si>
  <si>
    <t>Share/Security Premium</t>
  </si>
  <si>
    <t>General Reserves</t>
  </si>
  <si>
    <t>Catastrophe Reserve</t>
  </si>
  <si>
    <t>Other Reserves</t>
  </si>
  <si>
    <t>Balance of Profit in Profit &amp; Loss Account</t>
  </si>
  <si>
    <t>TOTAL</t>
  </si>
  <si>
    <t>SECURITY-WISE CLASSIFICATION</t>
  </si>
  <si>
    <t>Secured</t>
  </si>
  <si>
    <t>(a) On mortgage of property</t>
  </si>
  <si>
    <t>(aa)  In India</t>
  </si>
  <si>
    <t>(bb) Outside India</t>
  </si>
  <si>
    <t>(b) On Shares, Bonds, Govt. Securities</t>
  </si>
  <si>
    <t>(c) Others</t>
  </si>
  <si>
    <t>Unsecured</t>
  </si>
  <si>
    <t>BORROWER-WISE CLASSIFICATION</t>
  </si>
  <si>
    <t>(a) Central and State Governments</t>
  </si>
  <si>
    <t>(b) Banks and Financial Institutions</t>
  </si>
  <si>
    <t>(c) Subsidiaries</t>
  </si>
  <si>
    <t>(d) Industrial Undertakings</t>
  </si>
  <si>
    <t xml:space="preserve">(e)  Others </t>
  </si>
  <si>
    <t>PERFORMANCE-WISE CLASSIFICATION</t>
  </si>
  <si>
    <t>(a) Loans classified as standard</t>
  </si>
  <si>
    <t>(b) Non-performing loans less provisions</t>
  </si>
  <si>
    <t>Provisions</t>
  </si>
  <si>
    <t>MATURITY-WISE CLASSIFICATION</t>
  </si>
  <si>
    <t>(a) Short Term</t>
  </si>
  <si>
    <t>(b) Long Term</t>
  </si>
  <si>
    <t>Goodwill</t>
  </si>
  <si>
    <t>Intangibles (Software)</t>
  </si>
  <si>
    <t>Land-Freehold</t>
  </si>
  <si>
    <t>Land-Leasehold</t>
  </si>
  <si>
    <t>Leasehold</t>
  </si>
  <si>
    <t xml:space="preserve">Buildings </t>
  </si>
  <si>
    <t>Furniture &amp; Fittings</t>
  </si>
  <si>
    <t>IT Equipments</t>
  </si>
  <si>
    <t>Motor Cars/Vehicles</t>
  </si>
  <si>
    <t>Office Equipments</t>
  </si>
  <si>
    <t>Electrical Equipments</t>
  </si>
  <si>
    <t>Other Assets</t>
  </si>
  <si>
    <t>Capital Work in progress</t>
  </si>
  <si>
    <t>Instangible Assets under development</t>
  </si>
  <si>
    <t>Grand Total</t>
  </si>
  <si>
    <t>Cash (including cheques, drafts and stamps)</t>
  </si>
  <si>
    <t>Bank Balances</t>
  </si>
  <si>
    <t>(a) Deposit Accounts</t>
  </si>
  <si>
    <t>           (aa) Short-term (due within 12 months)</t>
  </si>
  <si>
    <t>           (bb) Others</t>
  </si>
  <si>
    <t>(b) Current Accounts</t>
  </si>
  <si>
    <t>(c) Cheque in Hand</t>
  </si>
  <si>
    <t>(d) Others</t>
  </si>
  <si>
    <t>Money at Call and Short Notice</t>
  </si>
  <si>
    <t>(a) With Banks</t>
  </si>
  <si>
    <t>(b) With other Institutions</t>
  </si>
  <si>
    <t>Agents’ Balances</t>
  </si>
  <si>
    <t>Balances due to other insurance companies</t>
  </si>
  <si>
    <t>Deposits held on re-insurance ceded</t>
  </si>
  <si>
    <t>Premiums received in advance</t>
  </si>
  <si>
    <t>Unallocated Premium</t>
  </si>
  <si>
    <t>Sundry creditors</t>
  </si>
  <si>
    <t>Due to subsidiaries/ holding company</t>
  </si>
  <si>
    <t xml:space="preserve">Claims Outstanding </t>
  </si>
  <si>
    <t>Due to Directors/Officers</t>
  </si>
  <si>
    <t>Unclaimed amount of Policyholders</t>
  </si>
  <si>
    <t>in Rs. Lakhs</t>
  </si>
  <si>
    <t>Available Assets in Policyholders’ Funds</t>
  </si>
  <si>
    <t>Liabilities (reserves as mentioned in Form HG)</t>
  </si>
  <si>
    <t>Other Liabilities (other liabilities in respect of  Policyholders’ Fund as mentioned in Balance Sheet)</t>
  </si>
  <si>
    <t>Current Liabilities as per Balance Sheet</t>
  </si>
  <si>
    <t>Provisions as per Balance Sheet</t>
  </si>
  <si>
    <t xml:space="preserve">Excess in Policyholders’ Funds </t>
  </si>
  <si>
    <t>Available Assets in Shareholders’ Funds</t>
  </si>
  <si>
    <t>Other Liabilities (other liabilities in respect of Shareholders’ Fund as mentioned in Balance Sheet)</t>
  </si>
  <si>
    <t>Excess in Shareholders’ Funds</t>
  </si>
  <si>
    <t>Total Available Solvency Margin [ASM]</t>
  </si>
  <si>
    <t>Total Required Solvency Margin  [RSM]</t>
  </si>
  <si>
    <t>Solvency Ratio (Total ASM/Total RSM)</t>
  </si>
  <si>
    <t>No. of Policies- in number only, Premium- in Rs. Lakhs</t>
  </si>
  <si>
    <t>Individual Agents</t>
  </si>
  <si>
    <t>Corporate Agents-Banks</t>
  </si>
  <si>
    <t>Corporate Agents -Others</t>
  </si>
  <si>
    <t>Brokers</t>
  </si>
  <si>
    <t>Micro Agents</t>
  </si>
  <si>
    <t>Direct Business</t>
  </si>
  <si>
    <t>Total (A)</t>
  </si>
  <si>
    <t>Referral (B)</t>
  </si>
  <si>
    <t>Grand Total (A+B)</t>
  </si>
  <si>
    <t>No.of Policies</t>
  </si>
  <si>
    <t>Premium</t>
  </si>
  <si>
    <t>Gross Premium Growth Rate</t>
  </si>
  <si>
    <t>Gross Direct Premium to Net Worth Ratio</t>
  </si>
  <si>
    <t>Growth Rate of Net Worth</t>
  </si>
  <si>
    <t>Net Retention Ratio</t>
  </si>
  <si>
    <t>Net Commission Ratio</t>
  </si>
  <si>
    <t>Expense of Management to Gross Direct Premium Ratio</t>
  </si>
  <si>
    <t>Expense of Management to Net Written Premium Ratio</t>
  </si>
  <si>
    <t>Net Incurred claims to Net Earned Premium</t>
  </si>
  <si>
    <t>Combined Ratio</t>
  </si>
  <si>
    <t>Technical Reserves to net premium ratio</t>
  </si>
  <si>
    <t>Underwriting balance ratio</t>
  </si>
  <si>
    <t>Operating Profit Ratio</t>
  </si>
  <si>
    <t>Liquid Assets to Liabilities ratio</t>
  </si>
  <si>
    <t>Net earning ratio</t>
  </si>
  <si>
    <t>Return on net worth ratio</t>
  </si>
  <si>
    <t>Available Solvency Margin Ratio to Required Solvency Margin Ratio</t>
  </si>
  <si>
    <t>Total</t>
  </si>
  <si>
    <t>No. of Reinsurers</t>
  </si>
  <si>
    <t>Premium ceded to reinsurers</t>
  </si>
  <si>
    <t>Premium ceded to reinsurers/ Total reinsurance premium ceded (%)</t>
  </si>
  <si>
    <t>Proportional</t>
  </si>
  <si>
    <t>Non-Proportional</t>
  </si>
  <si>
    <t>Facultative</t>
  </si>
  <si>
    <t>Reinsurance Placement</t>
  </si>
  <si>
    <t>No. of Reinsurers with rating of AAA and above</t>
  </si>
  <si>
    <t>No. of Reinsurers with rating AA but less than AAA</t>
  </si>
  <si>
    <t>No. of Reinsurers with rating A but less than AA</t>
  </si>
  <si>
    <t xml:space="preserve">No. of Reinsurers with rating BBB but less than A </t>
  </si>
  <si>
    <t>No. of Reinsurers with rating less than BBB</t>
  </si>
  <si>
    <t>Shareholders</t>
  </si>
  <si>
    <t>Policyholders</t>
  </si>
  <si>
    <t>LONG TERM INVESTMENTS</t>
  </si>
  <si>
    <t>Government securities and Government guaranteed bonds including Treasury Bills</t>
  </si>
  <si>
    <t>Other Approved Securities</t>
  </si>
  <si>
    <t>Other Investments</t>
  </si>
  <si>
    <t>(a) Shares</t>
  </si>
  <si>
    <t xml:space="preserve">      (aa)  Equity</t>
  </si>
  <si>
    <t xml:space="preserve">      (bb) Preference</t>
  </si>
  <si>
    <t>(b) Mutual Funds</t>
  </si>
  <si>
    <t>(f) Subsidiaries</t>
  </si>
  <si>
    <t>(g) Investment properties - Real Estate</t>
  </si>
  <si>
    <t>Other than Approved Investments</t>
  </si>
  <si>
    <t>TOTAL LONG TERM INVESTMENTS</t>
  </si>
  <si>
    <t>SHORT TERM INVESTMENTS</t>
  </si>
  <si>
    <t>TOTAL SHORT TERM INVESTMENTS</t>
  </si>
  <si>
    <t>(e) Other securities</t>
  </si>
  <si>
    <t>NL-7 Operating Expenses</t>
  </si>
  <si>
    <t>Employees remuneration and welfare benefits</t>
  </si>
  <si>
    <t>Travel conveyance and vehicle running expenses</t>
  </si>
  <si>
    <t>Training expenses</t>
  </si>
  <si>
    <t>Rent, rates and taxes</t>
  </si>
  <si>
    <t>Repairs and maintenance</t>
  </si>
  <si>
    <t>Printing and stationery</t>
  </si>
  <si>
    <t>Communication</t>
  </si>
  <si>
    <t>Legal and Professional Charges</t>
  </si>
  <si>
    <t>Advertisement and publicity</t>
  </si>
  <si>
    <t>Interest and bank charges</t>
  </si>
  <si>
    <t>Service Tax Expenses / GST Expenses</t>
  </si>
  <si>
    <t>NL-6 Commission</t>
  </si>
  <si>
    <t>FIRE</t>
  </si>
  <si>
    <t>MARINE</t>
  </si>
  <si>
    <t>MOTOR</t>
  </si>
  <si>
    <t>ENGINEERING</t>
  </si>
  <si>
    <t>HEALTH</t>
  </si>
  <si>
    <t>PERSONAL ACCIDENT</t>
  </si>
  <si>
    <t>AVIATION</t>
  </si>
  <si>
    <t>OTHER MISCELLANEOUS</t>
  </si>
  <si>
    <t>Net Commission</t>
  </si>
  <si>
    <t xml:space="preserve">NL-5 Claims </t>
  </si>
  <si>
    <t>Net Earned Premium</t>
  </si>
  <si>
    <t xml:space="preserve">NL-4 Premium </t>
  </si>
  <si>
    <t>SOURCES OF FUNDS</t>
  </si>
  <si>
    <t>Share Capital</t>
  </si>
  <si>
    <t>Reserves and Surplus</t>
  </si>
  <si>
    <t>Borrowings</t>
  </si>
  <si>
    <t>APPLICATION OF FUNDS</t>
  </si>
  <si>
    <t>Investments- Shareholders Funds</t>
  </si>
  <si>
    <t>Investments- Policyholders Funds</t>
  </si>
  <si>
    <t>Total Investments</t>
  </si>
  <si>
    <t>Loans</t>
  </si>
  <si>
    <t>Fixed Assets</t>
  </si>
  <si>
    <t>Deferred Tax Assets</t>
  </si>
  <si>
    <t>Current Assets</t>
  </si>
  <si>
    <t>Cash and Bank Balances</t>
  </si>
  <si>
    <t>Advances and Other Assets</t>
  </si>
  <si>
    <t>Sub-Total (A)</t>
  </si>
  <si>
    <t>Current Liabilities</t>
  </si>
  <si>
    <t>Sub-Total (B)</t>
  </si>
  <si>
    <t>NET CURRENT ASSETS (C) = (A - B)</t>
  </si>
  <si>
    <t>Miscellaneous Expenditure (to the extent not written off or adjusted)</t>
  </si>
  <si>
    <t>Debit Balance in Profit and Loss Account</t>
  </si>
  <si>
    <t>OPERATING PROFIT/(LOSS)</t>
  </si>
  <si>
    <t>(a) Fire Insurance</t>
  </si>
  <si>
    <t>(b) Marine Insurance</t>
  </si>
  <si>
    <t>(c) Miscellaneous Insurance</t>
  </si>
  <si>
    <t>INCOME FROM INVESTMENTS</t>
  </si>
  <si>
    <t>(a) Interest, Dividend &amp; Rent – Gross</t>
  </si>
  <si>
    <t>(b) Profit on sale of investments</t>
  </si>
  <si>
    <t>Less: Loss on sale of investments</t>
  </si>
  <si>
    <t>(c) Accretion/(Amortisation) of Debt Securities</t>
  </si>
  <si>
    <t>(d) Amortization of Discount / (Premium)</t>
  </si>
  <si>
    <t>OTHER INCOME</t>
  </si>
  <si>
    <t>PROVISIONS (Other than taxation)</t>
  </si>
  <si>
    <t>(a) For diminution in the value of investments</t>
  </si>
  <si>
    <t>(b) For doubtful debts</t>
  </si>
  <si>
    <t xml:space="preserve">OTHER EXPENSES </t>
  </si>
  <si>
    <t>PROFIT / (LOSS) BEFORE TAX (A-B)</t>
  </si>
  <si>
    <t>PROFIT / (LOSS) AFTER TAX</t>
  </si>
  <si>
    <t>Provision for Taxation</t>
  </si>
  <si>
    <t xml:space="preserve">NL-2 Profit and Loss Account </t>
  </si>
  <si>
    <t>Aditya Birla Health</t>
  </si>
  <si>
    <t>Cholamandalam MS</t>
  </si>
  <si>
    <t>Manipal Cigna Health</t>
  </si>
  <si>
    <t>Navi</t>
  </si>
  <si>
    <t>Raheja QBE</t>
  </si>
  <si>
    <t>The New India Assurance</t>
  </si>
  <si>
    <t>The Oriental</t>
  </si>
  <si>
    <t>Reliance</t>
  </si>
  <si>
    <t>Kotak</t>
  </si>
  <si>
    <t>Care Health</t>
  </si>
  <si>
    <t>For Q2 2021-22</t>
  </si>
  <si>
    <t>Upto 6 months 2021-22</t>
  </si>
  <si>
    <t>NL-3 Balance Sheet as at 30 September 2021</t>
  </si>
  <si>
    <t>CROP</t>
  </si>
  <si>
    <t>NL-10 Reserves and Surplus as at 30 September 2021</t>
  </si>
  <si>
    <t>NL-12 Investments as at 30 September 2021</t>
  </si>
  <si>
    <t>NL-13 Loans as at 30 September 2021</t>
  </si>
  <si>
    <t>NL-14 Fixed Assets. Net Block as at 30 September 2021</t>
  </si>
  <si>
    <t>NL-15 Cash and Bank Balance as at 30 September 2021</t>
  </si>
  <si>
    <t>NL-17 Current Liabilities as at 30 September 2021</t>
  </si>
  <si>
    <t>Niva Bupa Health</t>
  </si>
  <si>
    <t>Digit</t>
  </si>
  <si>
    <t>NL-26 Solvency Margin KGII for the period ended 30 September 2021</t>
  </si>
  <si>
    <t>NL-20 Analytical Ratios</t>
  </si>
  <si>
    <t xml:space="preserve">NL-36 Business Acquisition Through Different Channels </t>
  </si>
  <si>
    <t>NL-44 Motor TP Obligations (Quarterly Returns)</t>
  </si>
  <si>
    <t>Premium in respect of liability only policies (L)</t>
  </si>
  <si>
    <t>Premium in respect of package policies (P)</t>
  </si>
  <si>
    <t>Business Premium (L+P)</t>
  </si>
  <si>
    <t>Total Gross Direct Motor Own damage Insurance Business Premium</t>
  </si>
  <si>
    <t>Total Gross Direct Premium Income</t>
  </si>
  <si>
    <t>NL-40 Underwriting Performance upto 30 September 2021</t>
  </si>
  <si>
    <t>Underwriting Result</t>
  </si>
  <si>
    <t>Underwriting Ratio</t>
  </si>
  <si>
    <t>Commission (Net)</t>
  </si>
  <si>
    <t>Total Operating Expenses</t>
  </si>
  <si>
    <t>Premium Deficiency</t>
  </si>
  <si>
    <t>Outside India</t>
  </si>
  <si>
    <t>Total A</t>
  </si>
  <si>
    <t>Within India</t>
  </si>
  <si>
    <t>Indian Insurance Companies</t>
  </si>
  <si>
    <t>FRBs</t>
  </si>
  <si>
    <t>GIC Re</t>
  </si>
  <si>
    <t>Total B</t>
  </si>
  <si>
    <t>Grand Total A+B</t>
  </si>
  <si>
    <r>
      <t xml:space="preserve">NL-33 Reinsurance/Retrocession Risk Concentration
</t>
    </r>
    <r>
      <rPr>
        <sz val="12"/>
        <rFont val="Calibri"/>
        <family val="2"/>
        <scheme val="minor"/>
      </rPr>
      <t xml:space="preserve">Rs. In Lakhs </t>
    </r>
  </si>
  <si>
    <t>Claims paid to claims provisions</t>
  </si>
  <si>
    <t>Investment income ratio</t>
  </si>
  <si>
    <t>NL-18 Provisions Schedule as at 30 September 2021</t>
  </si>
  <si>
    <t>Reserve for Unexpired Risk</t>
  </si>
  <si>
    <t>Reserve for Premium Deficiency</t>
  </si>
  <si>
    <t xml:space="preserve">For taxation (less advance tax paid and taxes </t>
  </si>
  <si>
    <t>deducted at source)</t>
  </si>
  <si>
    <t>For Employee Benefits</t>
  </si>
  <si>
    <t>NL-11 Borrowings Schedule as at 30 September 2021</t>
  </si>
  <si>
    <t>Debentures/ Bonds</t>
  </si>
  <si>
    <t>Banks</t>
  </si>
  <si>
    <t>Financial Institutions</t>
  </si>
  <si>
    <t xml:space="preserve">Gross Direct Premium </t>
  </si>
  <si>
    <t>Add : Premium on reinsurance accepted</t>
  </si>
  <si>
    <t>Less : Premium on reinsurance ceded</t>
  </si>
  <si>
    <t>Net Written Premium</t>
  </si>
  <si>
    <t>Add : Opening balance of UPR</t>
  </si>
  <si>
    <t>Less : Closing balance of UPR</t>
  </si>
  <si>
    <t>Claims Paid (Direct)</t>
  </si>
  <si>
    <t>Add : Re-insurance accepted to direct claims</t>
  </si>
  <si>
    <t>Less : Re-insurance ceded to claims paid</t>
  </si>
  <si>
    <t>Net Claims Paid</t>
  </si>
  <si>
    <t>Add : Claims Outstanding at the end of the year</t>
  </si>
  <si>
    <t>Less : Claims Outstanding at the beginning of the year</t>
  </si>
  <si>
    <t>Net Incurred Claims</t>
  </si>
  <si>
    <t xml:space="preserve">Commission &amp; Remuneration </t>
  </si>
  <si>
    <t>Rewards</t>
  </si>
  <si>
    <t>Distribution fees</t>
  </si>
  <si>
    <t>Gross Commission</t>
  </si>
  <si>
    <t>Add : Commission on Re-insurance accepted</t>
  </si>
  <si>
    <t>Less : Commission on Re-insurance ceded</t>
  </si>
  <si>
    <t>Investments in Infrastructure and Housing</t>
  </si>
  <si>
    <t>(c) Derivative Instruments</t>
  </si>
  <si>
    <t>(d) Debentures/ Bonds</t>
  </si>
  <si>
    <t>(g) Investment properties - Real Estate</t>
  </si>
  <si>
    <t>Go Digit</t>
  </si>
  <si>
    <t>Deferred Tax Liability</t>
  </si>
  <si>
    <t>Fair Value Change- Shareholder's Funds</t>
  </si>
  <si>
    <t>Fair Value Change- Policyholder's Funds</t>
  </si>
  <si>
    <t>Total Fair Value Change Account</t>
  </si>
  <si>
    <t>‐10%</t>
  </si>
  <si>
    <t>‐1.87</t>
  </si>
  <si>
    <t>‐153%</t>
  </si>
  <si>
    <t>‐107%</t>
  </si>
  <si>
    <t>‐11%</t>
  </si>
  <si>
    <t>‐5%</t>
  </si>
  <si>
    <t xml:space="preserve">‐10% </t>
  </si>
  <si>
    <t>%6%</t>
  </si>
  <si>
    <t>%5%</t>
  </si>
  <si>
    <t>‐1.03</t>
  </si>
  <si>
    <t>‐61%</t>
  </si>
  <si>
    <t>‐50%</t>
  </si>
  <si>
    <t>‐7%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</si>
</sst>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0.0%"/>
    <numFmt numFmtId="165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  <charset val="1"/>
    </font>
    <font>
      <sz val="12"/>
      <name val="Calibri"/>
      <family val="2"/>
      <scheme val="minor"/>
    </font>
    <font>
      <b/>
      <sz val="11"/>
      <color theme="4" tint="-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" fillId="0" borderId="0"/>
    <xf numFmtId="43" fontId="10" fillId="0" borderId="0" applyFill="0" applyBorder="0" applyAlignment="0" applyProtection="0"/>
    <xf numFmtId="0" fontId="12" fillId="0" borderId="0"/>
    <xf numFmtId="43" fontId="5" fillId="0" borderId="0" applyFont="0" applyFill="0" applyBorder="0" applyAlignment="0" applyProtection="0"/>
    <xf numFmtId="0" fontId="9" fillId="0" borderId="0"/>
    <xf numFmtId="0" fontId="5" fillId="0" borderId="0"/>
  </cellStyleXfs>
  <cellXfs count="177">
    <xf numFmtId="0" fontId="0" fillId="0" borderId="0" xfId="0"/>
    <xf numFmtId="1" fontId="1" fillId="0" borderId="1" xfId="0" applyNumberFormat="1" applyFont="1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1" fontId="4" fillId="0" borderId="0" xfId="0" applyNumberFormat="1" applyFont="1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" fontId="1" fillId="0" borderId="0" xfId="0" applyNumberFormat="1" applyFont="1"/>
    <xf numFmtId="1" fontId="4" fillId="0" borderId="0" xfId="0" applyNumberFormat="1" applyFont="1"/>
    <xf numFmtId="1" fontId="0" fillId="0" borderId="1" xfId="0" applyNumberFormat="1" applyBorder="1"/>
    <xf numFmtId="1" fontId="1" fillId="0" borderId="1" xfId="0" applyNumberFormat="1" applyFont="1" applyBorder="1"/>
    <xf numFmtId="0" fontId="0" fillId="0" borderId="1" xfId="0" applyBorder="1" applyAlignment="1">
      <alignment wrapText="1"/>
    </xf>
    <xf numFmtId="1" fontId="4" fillId="0" borderId="0" xfId="0" applyNumberFormat="1" applyFont="1" applyAlignment="1"/>
    <xf numFmtId="1" fontId="0" fillId="0" borderId="0" xfId="0" applyNumberFormat="1" applyFont="1" applyAlignment="1">
      <alignment wrapText="1"/>
    </xf>
    <xf numFmtId="1" fontId="2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2" fontId="2" fillId="0" borderId="1" xfId="0" applyNumberFormat="1" applyFont="1" applyBorder="1" applyAlignment="1">
      <alignment vertical="center" wrapText="1"/>
    </xf>
    <xf numFmtId="2" fontId="0" fillId="0" borderId="1" xfId="0" applyNumberFormat="1" applyBorder="1"/>
    <xf numFmtId="2" fontId="0" fillId="0" borderId="1" xfId="0" applyNumberFormat="1" applyBorder="1" applyAlignment="1">
      <alignment wrapText="1"/>
    </xf>
    <xf numFmtId="2" fontId="2" fillId="0" borderId="1" xfId="0" applyNumberFormat="1" applyFont="1" applyBorder="1"/>
    <xf numFmtId="1" fontId="0" fillId="0" borderId="1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1" fontId="0" fillId="0" borderId="0" xfId="0" applyNumberFormat="1" applyFont="1"/>
    <xf numFmtId="1" fontId="7" fillId="0" borderId="0" xfId="0" applyNumberFormat="1" applyFont="1"/>
    <xf numFmtId="1" fontId="0" fillId="0" borderId="1" xfId="0" applyNumberFormat="1" applyFont="1" applyBorder="1"/>
    <xf numFmtId="1" fontId="0" fillId="0" borderId="0" xfId="0" applyNumberFormat="1" applyFont="1" applyBorder="1"/>
    <xf numFmtId="1" fontId="7" fillId="0" borderId="0" xfId="0" applyNumberFormat="1" applyFont="1" applyBorder="1"/>
    <xf numFmtId="1" fontId="7" fillId="0" borderId="0" xfId="0" applyNumberFormat="1" applyFont="1" applyAlignment="1">
      <alignment wrapText="1"/>
    </xf>
    <xf numFmtId="1" fontId="0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0" fontId="0" fillId="0" borderId="1" xfId="0" applyBorder="1"/>
    <xf numFmtId="1" fontId="2" fillId="0" borderId="1" xfId="0" applyNumberFormat="1" applyFont="1" applyBorder="1"/>
    <xf numFmtId="1" fontId="2" fillId="0" borderId="0" xfId="0" applyNumberFormat="1" applyFont="1"/>
    <xf numFmtId="9" fontId="0" fillId="0" borderId="1" xfId="0" applyNumberFormat="1" applyBorder="1"/>
    <xf numFmtId="10" fontId="0" fillId="0" borderId="1" xfId="0" applyNumberFormat="1" applyBorder="1"/>
    <xf numFmtId="10" fontId="0" fillId="0" borderId="1" xfId="1" applyNumberFormat="1" applyFont="1" applyBorder="1"/>
    <xf numFmtId="2" fontId="0" fillId="0" borderId="1" xfId="1" applyNumberFormat="1" applyFont="1" applyBorder="1"/>
    <xf numFmtId="10" fontId="2" fillId="0" borderId="1" xfId="1" applyNumberFormat="1" applyFont="1" applyBorder="1"/>
    <xf numFmtId="2" fontId="0" fillId="0" borderId="0" xfId="0" applyNumberFormat="1"/>
    <xf numFmtId="2" fontId="1" fillId="0" borderId="1" xfId="0" applyNumberFormat="1" applyFont="1" applyBorder="1" applyAlignment="1">
      <alignment horizontal="left" wrapText="1"/>
    </xf>
    <xf numFmtId="2" fontId="2" fillId="0" borderId="0" xfId="0" applyNumberFormat="1" applyFont="1"/>
    <xf numFmtId="10" fontId="0" fillId="0" borderId="0" xfId="1" applyNumberFormat="1" applyFont="1"/>
    <xf numFmtId="1" fontId="4" fillId="0" borderId="0" xfId="0" applyNumberFormat="1" applyFont="1" applyFill="1" applyAlignment="1"/>
    <xf numFmtId="1" fontId="0" fillId="0" borderId="0" xfId="0" applyNumberFormat="1" applyFill="1"/>
    <xf numFmtId="1" fontId="0" fillId="0" borderId="0" xfId="0" applyNumberFormat="1" applyFill="1" applyAlignment="1">
      <alignment wrapText="1"/>
    </xf>
    <xf numFmtId="1" fontId="1" fillId="0" borderId="1" xfId="0" applyNumberFormat="1" applyFont="1" applyFill="1" applyBorder="1" applyAlignment="1">
      <alignment wrapText="1"/>
    </xf>
    <xf numFmtId="1" fontId="0" fillId="0" borderId="1" xfId="0" applyNumberFormat="1" applyFill="1" applyBorder="1"/>
    <xf numFmtId="1" fontId="0" fillId="0" borderId="1" xfId="0" applyNumberFormat="1" applyFill="1" applyBorder="1" applyAlignment="1">
      <alignment wrapText="1"/>
    </xf>
    <xf numFmtId="1" fontId="1" fillId="0" borderId="1" xfId="0" applyNumberFormat="1" applyFont="1" applyFill="1" applyBorder="1"/>
    <xf numFmtId="1" fontId="1" fillId="0" borderId="0" xfId="0" applyNumberFormat="1" applyFont="1" applyFill="1"/>
    <xf numFmtId="1" fontId="3" fillId="0" borderId="0" xfId="0" applyNumberFormat="1" applyFont="1"/>
    <xf numFmtId="2" fontId="4" fillId="0" borderId="0" xfId="0" applyNumberFormat="1" applyFont="1" applyAlignment="1">
      <alignment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vertical="center"/>
    </xf>
    <xf numFmtId="1" fontId="0" fillId="0" borderId="4" xfId="0" applyNumberFormat="1" applyBorder="1"/>
    <xf numFmtId="1" fontId="1" fillId="0" borderId="1" xfId="0" applyNumberFormat="1" applyFont="1" applyBorder="1" applyAlignment="1">
      <alignment horizontal="center" wrapText="1"/>
    </xf>
    <xf numFmtId="1" fontId="0" fillId="0" borderId="0" xfId="0" applyNumberFormat="1" applyAlignment="1">
      <alignment horizontal="center"/>
    </xf>
    <xf numFmtId="1" fontId="0" fillId="0" borderId="0" xfId="1" applyNumberFormat="1" applyFont="1"/>
    <xf numFmtId="1" fontId="0" fillId="0" borderId="1" xfId="1" applyNumberFormat="1" applyFont="1" applyBorder="1"/>
    <xf numFmtId="9" fontId="0" fillId="0" borderId="1" xfId="1" applyFont="1" applyBorder="1"/>
    <xf numFmtId="9" fontId="2" fillId="0" borderId="1" xfId="1" applyFont="1" applyBorder="1"/>
    <xf numFmtId="1" fontId="1" fillId="2" borderId="1" xfId="0" applyNumberFormat="1" applyFont="1" applyFill="1" applyBorder="1"/>
    <xf numFmtId="1" fontId="6" fillId="2" borderId="1" xfId="0" applyNumberFormat="1" applyFont="1" applyFill="1" applyBorder="1"/>
    <xf numFmtId="1" fontId="8" fillId="2" borderId="1" xfId="0" applyNumberFormat="1" applyFont="1" applyFill="1" applyBorder="1"/>
    <xf numFmtId="1" fontId="2" fillId="2" borderId="1" xfId="0" applyNumberFormat="1" applyFont="1" applyFill="1" applyBorder="1"/>
    <xf numFmtId="1" fontId="0" fillId="2" borderId="1" xfId="0" applyNumberFormat="1" applyFont="1" applyFill="1" applyBorder="1"/>
    <xf numFmtId="1" fontId="0" fillId="2" borderId="1" xfId="0" applyNumberFormat="1" applyFill="1" applyBorder="1"/>
    <xf numFmtId="1" fontId="6" fillId="0" borderId="1" xfId="0" applyNumberFormat="1" applyFont="1" applyBorder="1"/>
    <xf numFmtId="1" fontId="1" fillId="0" borderId="1" xfId="0" applyNumberFormat="1" applyFont="1" applyBorder="1" applyAlignment="1">
      <alignment horizontal="center"/>
    </xf>
    <xf numFmtId="1" fontId="0" fillId="0" borderId="0" xfId="0" applyNumberFormat="1"/>
    <xf numFmtId="164" fontId="0" fillId="0" borderId="1" xfId="0" applyNumberFormat="1" applyBorder="1"/>
    <xf numFmtId="0" fontId="0" fillId="0" borderId="1" xfId="0" applyBorder="1" applyAlignment="1">
      <alignment horizontal="right"/>
    </xf>
    <xf numFmtId="1" fontId="0" fillId="3" borderId="1" xfId="0" applyNumberFormat="1" applyFill="1" applyBorder="1"/>
    <xf numFmtId="1" fontId="1" fillId="3" borderId="1" xfId="0" applyNumberFormat="1" applyFont="1" applyFill="1" applyBorder="1"/>
    <xf numFmtId="1" fontId="0" fillId="0" borderId="1" xfId="0" applyNumberFormat="1" applyBorder="1"/>
    <xf numFmtId="2" fontId="0" fillId="0" borderId="1" xfId="0" applyNumberFormat="1" applyBorder="1"/>
    <xf numFmtId="1" fontId="1" fillId="2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Fill="1" applyBorder="1"/>
    <xf numFmtId="2" fontId="2" fillId="0" borderId="1" xfId="1" applyNumberFormat="1" applyFont="1" applyBorder="1"/>
    <xf numFmtId="1" fontId="1" fillId="0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/>
    <xf numFmtId="9" fontId="0" fillId="0" borderId="1" xfId="0" applyNumberFormat="1" applyBorder="1" applyAlignment="1">
      <alignment horizontal="right"/>
    </xf>
    <xf numFmtId="1" fontId="0" fillId="0" borderId="1" xfId="0" applyNumberFormat="1" applyFont="1" applyFill="1" applyBorder="1"/>
    <xf numFmtId="164" fontId="0" fillId="0" borderId="1" xfId="0" applyNumberFormat="1" applyBorder="1" applyAlignment="1">
      <alignment horizontal="right"/>
    </xf>
    <xf numFmtId="2" fontId="0" fillId="0" borderId="1" xfId="0" applyNumberFormat="1" applyBorder="1"/>
    <xf numFmtId="2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1" fontId="1" fillId="0" borderId="1" xfId="0" applyNumberFormat="1" applyFont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vertical="center"/>
    </xf>
    <xf numFmtId="1" fontId="0" fillId="0" borderId="1" xfId="0" applyNumberFormat="1" applyBorder="1" applyAlignment="1">
      <alignment vertical="center" wrapText="1"/>
    </xf>
    <xf numFmtId="1" fontId="0" fillId="0" borderId="1" xfId="0" applyNumberFormat="1" applyBorder="1" applyAlignment="1">
      <alignment vertical="center"/>
    </xf>
    <xf numFmtId="1" fontId="6" fillId="2" borderId="1" xfId="0" applyNumberFormat="1" applyFont="1" applyFill="1" applyBorder="1" applyAlignment="1">
      <alignment vertical="center"/>
    </xf>
    <xf numFmtId="1" fontId="1" fillId="0" borderId="1" xfId="0" applyNumberFormat="1" applyFont="1" applyBorder="1" applyAlignment="1">
      <alignment vertical="center" wrapText="1"/>
    </xf>
    <xf numFmtId="1" fontId="1" fillId="0" borderId="1" xfId="0" applyNumberFormat="1" applyFont="1" applyBorder="1" applyAlignment="1">
      <alignment vertical="center"/>
    </xf>
    <xf numFmtId="1" fontId="1" fillId="2" borderId="1" xfId="0" applyNumberFormat="1" applyFont="1" applyFill="1" applyBorder="1" applyAlignment="1">
      <alignment vertical="center"/>
    </xf>
    <xf numFmtId="1" fontId="1" fillId="0" borderId="0" xfId="0" applyNumberFormat="1" applyFont="1" applyAlignment="1">
      <alignment vertical="center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8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0" fontId="2" fillId="0" borderId="1" xfId="1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1" fontId="2" fillId="0" borderId="1" xfId="1" applyNumberFormat="1" applyFont="1" applyBorder="1"/>
    <xf numFmtId="9" fontId="2" fillId="0" borderId="1" xfId="1" applyNumberFormat="1" applyFont="1" applyBorder="1"/>
    <xf numFmtId="9" fontId="0" fillId="0" borderId="1" xfId="1" applyNumberFormat="1" applyFont="1" applyBorder="1"/>
    <xf numFmtId="0" fontId="0" fillId="0" borderId="0" xfId="0" applyAlignment="1">
      <alignment horizontal="right"/>
    </xf>
    <xf numFmtId="1" fontId="8" fillId="0" borderId="1" xfId="0" applyNumberFormat="1" applyFont="1" applyBorder="1" applyAlignment="1">
      <alignment horizontal="right" vertical="center"/>
    </xf>
    <xf numFmtId="1" fontId="8" fillId="0" borderId="1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>
      <alignment horizontal="right"/>
    </xf>
    <xf numFmtId="9" fontId="0" fillId="0" borderId="1" xfId="1" applyNumberFormat="1" applyFont="1" applyBorder="1" applyAlignment="1">
      <alignment horizontal="right"/>
    </xf>
    <xf numFmtId="1" fontId="11" fillId="0" borderId="1" xfId="0" applyNumberFormat="1" applyFont="1" applyBorder="1"/>
    <xf numFmtId="1" fontId="11" fillId="0" borderId="5" xfId="0" applyNumberFormat="1" applyFont="1" applyFill="1" applyBorder="1"/>
    <xf numFmtId="1" fontId="14" fillId="0" borderId="1" xfId="0" applyNumberFormat="1" applyFont="1" applyBorder="1"/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vertical="center"/>
    </xf>
    <xf numFmtId="1" fontId="0" fillId="0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wrapText="1"/>
    </xf>
    <xf numFmtId="2" fontId="1" fillId="0" borderId="1" xfId="0" applyNumberFormat="1" applyFont="1" applyBorder="1"/>
    <xf numFmtId="2" fontId="1" fillId="0" borderId="0" xfId="0" applyNumberFormat="1" applyFont="1"/>
    <xf numFmtId="1" fontId="1" fillId="0" borderId="1" xfId="0" applyNumberFormat="1" applyFont="1" applyFill="1" applyBorder="1" applyAlignment="1">
      <alignment horizontal="center"/>
    </xf>
    <xf numFmtId="1" fontId="0" fillId="3" borderId="1" xfId="0" applyNumberFormat="1" applyFill="1" applyBorder="1" applyAlignment="1">
      <alignment vertical="center"/>
    </xf>
    <xf numFmtId="1" fontId="0" fillId="0" borderId="1" xfId="0" applyNumberFormat="1" applyFill="1" applyBorder="1" applyAlignment="1">
      <alignment vertical="center"/>
    </xf>
    <xf numFmtId="1" fontId="1" fillId="0" borderId="1" xfId="0" applyNumberFormat="1" applyFont="1" applyFill="1" applyBorder="1" applyAlignment="1">
      <alignment vertical="center"/>
    </xf>
    <xf numFmtId="10" fontId="0" fillId="0" borderId="1" xfId="0" applyNumberFormat="1" applyBorder="1" applyAlignment="1">
      <alignment horizontal="right"/>
    </xf>
    <xf numFmtId="2" fontId="0" fillId="0" borderId="8" xfId="0" applyNumberFormat="1" applyFill="1" applyBorder="1"/>
    <xf numFmtId="0" fontId="0" fillId="0" borderId="9" xfId="0" applyBorder="1"/>
    <xf numFmtId="1" fontId="0" fillId="0" borderId="9" xfId="0" applyNumberFormat="1" applyBorder="1"/>
    <xf numFmtId="165" fontId="0" fillId="0" borderId="1" xfId="0" applyNumberFormat="1" applyBorder="1"/>
    <xf numFmtId="1" fontId="0" fillId="0" borderId="9" xfId="0" applyNumberFormat="1" applyFont="1" applyBorder="1"/>
    <xf numFmtId="3" fontId="0" fillId="0" borderId="9" xfId="0" applyNumberFormat="1" applyBorder="1"/>
    <xf numFmtId="4" fontId="0" fillId="0" borderId="9" xfId="0" applyNumberFormat="1" applyBorder="1"/>
    <xf numFmtId="1" fontId="1" fillId="0" borderId="1" xfId="0" applyNumberFormat="1" applyFont="1" applyFill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0" fontId="2" fillId="0" borderId="1" xfId="1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2" fillId="0" borderId="1" xfId="1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1" xfId="2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1" fontId="1" fillId="0" borderId="9" xfId="0" applyNumberFormat="1" applyFont="1" applyFill="1" applyBorder="1" applyAlignment="1">
      <alignment horizontal="center"/>
    </xf>
    <xf numFmtId="2" fontId="1" fillId="0" borderId="9" xfId="0" applyNumberFormat="1" applyFont="1" applyBorder="1"/>
    <xf numFmtId="0" fontId="0" fillId="0" borderId="10" xfId="0" applyBorder="1"/>
    <xf numFmtId="1" fontId="0" fillId="0" borderId="10" xfId="0" applyNumberFormat="1" applyBorder="1"/>
    <xf numFmtId="1" fontId="1" fillId="0" borderId="10" xfId="0" applyNumberFormat="1" applyFont="1" applyBorder="1"/>
    <xf numFmtId="1" fontId="1" fillId="0" borderId="9" xfId="0" applyNumberFormat="1" applyFont="1" applyBorder="1"/>
  </cellXfs>
  <cellStyles count="10">
    <cellStyle name="Comma 2" xfId="3"/>
    <cellStyle name="Comma 3" xfId="5"/>
    <cellStyle name="Comma 4" xfId="7"/>
    <cellStyle name="Currency" xfId="2" builtinId="4"/>
    <cellStyle name="Excel Built-in Normal" xfId="6"/>
    <cellStyle name="Normal" xfId="0" builtinId="0"/>
    <cellStyle name="Normal 10" xfId="8"/>
    <cellStyle name="Normal 2" xfId="4"/>
    <cellStyle name="Normal 2 2" xfId="9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5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5" x14ac:dyDescent="0.25"/>
  <cols>
    <col min="1" max="1" width="33.140625" style="71" customWidth="1"/>
    <col min="2" max="63" width="16" style="71" customWidth="1"/>
    <col min="64" max="64" width="16" style="32" customWidth="1"/>
    <col min="65" max="65" width="16" style="7" customWidth="1"/>
    <col min="66" max="16384" width="9.140625" style="71"/>
  </cols>
  <sheetData>
    <row r="1" spans="1:65" ht="18.75" x14ac:dyDescent="0.3">
      <c r="A1" s="4" t="s">
        <v>32</v>
      </c>
    </row>
    <row r="2" spans="1:65" x14ac:dyDescent="0.25">
      <c r="A2" s="5" t="s">
        <v>98</v>
      </c>
    </row>
    <row r="3" spans="1:65" s="58" customFormat="1" x14ac:dyDescent="0.25">
      <c r="A3" s="57" t="s">
        <v>0</v>
      </c>
      <c r="B3" s="147" t="s">
        <v>1</v>
      </c>
      <c r="C3" s="148"/>
      <c r="D3" s="147" t="s">
        <v>233</v>
      </c>
      <c r="E3" s="148"/>
      <c r="F3" s="147" t="s">
        <v>2</v>
      </c>
      <c r="G3" s="148"/>
      <c r="H3" s="147" t="s">
        <v>3</v>
      </c>
      <c r="I3" s="148"/>
      <c r="J3" s="147" t="s">
        <v>242</v>
      </c>
      <c r="K3" s="148"/>
      <c r="L3" s="147" t="s">
        <v>234</v>
      </c>
      <c r="M3" s="148"/>
      <c r="N3" s="147" t="s">
        <v>254</v>
      </c>
      <c r="O3" s="148"/>
      <c r="P3" s="147" t="s">
        <v>5</v>
      </c>
      <c r="Q3" s="148"/>
      <c r="R3" s="147" t="s">
        <v>4</v>
      </c>
      <c r="S3" s="148"/>
      <c r="T3" s="147" t="s">
        <v>6</v>
      </c>
      <c r="U3" s="148"/>
      <c r="V3" s="147" t="s">
        <v>7</v>
      </c>
      <c r="W3" s="148"/>
      <c r="X3" s="147" t="s">
        <v>8</v>
      </c>
      <c r="Y3" s="148"/>
      <c r="Z3" s="147" t="s">
        <v>9</v>
      </c>
      <c r="AA3" s="148"/>
      <c r="AB3" s="147" t="s">
        <v>241</v>
      </c>
      <c r="AC3" s="148"/>
      <c r="AD3" s="147" t="s">
        <v>10</v>
      </c>
      <c r="AE3" s="148"/>
      <c r="AF3" s="147" t="s">
        <v>11</v>
      </c>
      <c r="AG3" s="148"/>
      <c r="AH3" s="147" t="s">
        <v>235</v>
      </c>
      <c r="AI3" s="148"/>
      <c r="AJ3" s="147" t="s">
        <v>253</v>
      </c>
      <c r="AK3" s="148"/>
      <c r="AL3" s="147" t="s">
        <v>12</v>
      </c>
      <c r="AM3" s="148"/>
      <c r="AN3" s="147" t="s">
        <v>236</v>
      </c>
      <c r="AO3" s="148"/>
      <c r="AP3" s="147" t="s">
        <v>237</v>
      </c>
      <c r="AQ3" s="148"/>
      <c r="AR3" s="147" t="s">
        <v>240</v>
      </c>
      <c r="AS3" s="148"/>
      <c r="AT3" s="147" t="s">
        <v>13</v>
      </c>
      <c r="AU3" s="148"/>
      <c r="AV3" s="147" t="s">
        <v>14</v>
      </c>
      <c r="AW3" s="148"/>
      <c r="AX3" s="147" t="s">
        <v>15</v>
      </c>
      <c r="AY3" s="148"/>
      <c r="AZ3" s="147" t="s">
        <v>16</v>
      </c>
      <c r="BA3" s="148"/>
      <c r="BB3" s="147" t="s">
        <v>17</v>
      </c>
      <c r="BC3" s="148"/>
      <c r="BD3" s="147" t="s">
        <v>238</v>
      </c>
      <c r="BE3" s="148"/>
      <c r="BF3" s="147" t="s">
        <v>239</v>
      </c>
      <c r="BG3" s="148"/>
      <c r="BH3" s="147" t="s">
        <v>18</v>
      </c>
      <c r="BI3" s="148"/>
      <c r="BJ3" s="147" t="s">
        <v>19</v>
      </c>
      <c r="BK3" s="148"/>
      <c r="BL3" s="149" t="s">
        <v>20</v>
      </c>
      <c r="BM3" s="150"/>
    </row>
    <row r="4" spans="1:65" s="55" customFormat="1" ht="30" x14ac:dyDescent="0.25">
      <c r="A4" s="52"/>
      <c r="B4" s="53" t="s">
        <v>243</v>
      </c>
      <c r="C4" s="54" t="s">
        <v>244</v>
      </c>
      <c r="D4" s="53" t="s">
        <v>243</v>
      </c>
      <c r="E4" s="54" t="s">
        <v>244</v>
      </c>
      <c r="F4" s="53" t="s">
        <v>243</v>
      </c>
      <c r="G4" s="54" t="s">
        <v>244</v>
      </c>
      <c r="H4" s="53" t="s">
        <v>243</v>
      </c>
      <c r="I4" s="54" t="s">
        <v>244</v>
      </c>
      <c r="J4" s="53" t="s">
        <v>243</v>
      </c>
      <c r="K4" s="54" t="s">
        <v>244</v>
      </c>
      <c r="L4" s="53" t="s">
        <v>243</v>
      </c>
      <c r="M4" s="54" t="s">
        <v>244</v>
      </c>
      <c r="N4" s="53" t="s">
        <v>243</v>
      </c>
      <c r="O4" s="54" t="s">
        <v>244</v>
      </c>
      <c r="P4" s="53" t="s">
        <v>243</v>
      </c>
      <c r="Q4" s="54" t="s">
        <v>244</v>
      </c>
      <c r="R4" s="53" t="s">
        <v>243</v>
      </c>
      <c r="S4" s="54" t="s">
        <v>244</v>
      </c>
      <c r="T4" s="53" t="s">
        <v>243</v>
      </c>
      <c r="U4" s="54" t="s">
        <v>244</v>
      </c>
      <c r="V4" s="53" t="s">
        <v>243</v>
      </c>
      <c r="W4" s="54" t="s">
        <v>244</v>
      </c>
      <c r="X4" s="53" t="s">
        <v>243</v>
      </c>
      <c r="Y4" s="54" t="s">
        <v>244</v>
      </c>
      <c r="Z4" s="53" t="s">
        <v>243</v>
      </c>
      <c r="AA4" s="54" t="s">
        <v>244</v>
      </c>
      <c r="AB4" s="53" t="s">
        <v>243</v>
      </c>
      <c r="AC4" s="54" t="s">
        <v>244</v>
      </c>
      <c r="AD4" s="53" t="s">
        <v>243</v>
      </c>
      <c r="AE4" s="54" t="s">
        <v>244</v>
      </c>
      <c r="AF4" s="53" t="s">
        <v>243</v>
      </c>
      <c r="AG4" s="54" t="s">
        <v>244</v>
      </c>
      <c r="AH4" s="53" t="s">
        <v>243</v>
      </c>
      <c r="AI4" s="54" t="s">
        <v>244</v>
      </c>
      <c r="AJ4" s="53" t="s">
        <v>243</v>
      </c>
      <c r="AK4" s="54" t="s">
        <v>244</v>
      </c>
      <c r="AL4" s="53" t="s">
        <v>243</v>
      </c>
      <c r="AM4" s="54" t="s">
        <v>244</v>
      </c>
      <c r="AN4" s="53" t="s">
        <v>243</v>
      </c>
      <c r="AO4" s="54" t="s">
        <v>244</v>
      </c>
      <c r="AP4" s="53" t="s">
        <v>243</v>
      </c>
      <c r="AQ4" s="54" t="s">
        <v>244</v>
      </c>
      <c r="AR4" s="53" t="s">
        <v>243</v>
      </c>
      <c r="AS4" s="54" t="s">
        <v>244</v>
      </c>
      <c r="AT4" s="53" t="s">
        <v>243</v>
      </c>
      <c r="AU4" s="54" t="s">
        <v>244</v>
      </c>
      <c r="AV4" s="53" t="s">
        <v>243</v>
      </c>
      <c r="AW4" s="54" t="s">
        <v>244</v>
      </c>
      <c r="AX4" s="53" t="s">
        <v>243</v>
      </c>
      <c r="AY4" s="54" t="s">
        <v>244</v>
      </c>
      <c r="AZ4" s="53" t="s">
        <v>243</v>
      </c>
      <c r="BA4" s="54" t="s">
        <v>244</v>
      </c>
      <c r="BB4" s="53" t="s">
        <v>243</v>
      </c>
      <c r="BC4" s="54" t="s">
        <v>244</v>
      </c>
      <c r="BD4" s="53" t="s">
        <v>243</v>
      </c>
      <c r="BE4" s="54" t="s">
        <v>244</v>
      </c>
      <c r="BF4" s="53" t="s">
        <v>243</v>
      </c>
      <c r="BG4" s="54" t="s">
        <v>244</v>
      </c>
      <c r="BH4" s="53" t="s">
        <v>243</v>
      </c>
      <c r="BI4" s="54" t="s">
        <v>244</v>
      </c>
      <c r="BJ4" s="53" t="s">
        <v>243</v>
      </c>
      <c r="BK4" s="54" t="s">
        <v>244</v>
      </c>
      <c r="BL4" s="53" t="s">
        <v>243</v>
      </c>
      <c r="BM4" s="54" t="s">
        <v>244</v>
      </c>
    </row>
    <row r="5" spans="1:65" x14ac:dyDescent="0.25">
      <c r="A5" s="2" t="s">
        <v>21</v>
      </c>
      <c r="B5" s="92">
        <v>10684</v>
      </c>
      <c r="C5" s="92">
        <v>17826</v>
      </c>
      <c r="D5" s="92">
        <v>26632</v>
      </c>
      <c r="E5" s="92">
        <v>50437</v>
      </c>
      <c r="F5" s="92">
        <v>262741</v>
      </c>
      <c r="G5" s="92">
        <v>329432</v>
      </c>
      <c r="H5" s="92">
        <v>204612</v>
      </c>
      <c r="I5" s="92">
        <v>386125</v>
      </c>
      <c r="J5" s="92">
        <v>62429.86</v>
      </c>
      <c r="K5" s="92">
        <v>109397.75</v>
      </c>
      <c r="L5" s="92">
        <v>85438</v>
      </c>
      <c r="M5" s="92">
        <v>169173</v>
      </c>
      <c r="N5" s="92">
        <v>80301</v>
      </c>
      <c r="O5" s="92">
        <v>148937</v>
      </c>
      <c r="P5" s="92">
        <v>22542.9</v>
      </c>
      <c r="Q5" s="92">
        <v>35687.31</v>
      </c>
      <c r="R5" s="92">
        <v>5996.04</v>
      </c>
      <c r="S5" s="92">
        <v>10982.45</v>
      </c>
      <c r="T5" s="92">
        <v>58460.28</v>
      </c>
      <c r="U5" s="92">
        <v>111404.16</v>
      </c>
      <c r="V5" s="92">
        <v>181053</v>
      </c>
      <c r="W5" s="92">
        <v>337644</v>
      </c>
      <c r="X5" s="92">
        <v>325029</v>
      </c>
      <c r="Y5" s="92">
        <v>640243</v>
      </c>
      <c r="Z5" s="92">
        <v>138078</v>
      </c>
      <c r="AA5" s="92">
        <v>268863</v>
      </c>
      <c r="AB5" s="92">
        <v>11423.71</v>
      </c>
      <c r="AC5" s="92">
        <v>22952.04</v>
      </c>
      <c r="AD5" s="92">
        <v>31800</v>
      </c>
      <c r="AE5" s="92">
        <v>62333</v>
      </c>
      <c r="AF5" s="92">
        <v>22410.69</v>
      </c>
      <c r="AG5" s="92">
        <v>42650.77</v>
      </c>
      <c r="AH5" s="92">
        <v>19731.86</v>
      </c>
      <c r="AI5" s="92">
        <v>36535.410000000003</v>
      </c>
      <c r="AJ5" s="92">
        <v>41378.25</v>
      </c>
      <c r="AK5" s="92">
        <v>75526.59</v>
      </c>
      <c r="AL5" s="92">
        <v>348029.95</v>
      </c>
      <c r="AM5" s="92">
        <v>624439.30000000005</v>
      </c>
      <c r="AN5" s="92">
        <v>2035</v>
      </c>
      <c r="AO5" s="92">
        <v>4064</v>
      </c>
      <c r="AP5" s="92">
        <v>7162</v>
      </c>
      <c r="AQ5" s="92">
        <v>13932</v>
      </c>
      <c r="AR5" s="92">
        <v>140377</v>
      </c>
      <c r="AS5" s="76">
        <v>103591</v>
      </c>
      <c r="AT5" s="76">
        <f>513+1761+53272</f>
        <v>55546</v>
      </c>
      <c r="AU5" s="76">
        <f>1108+3107+103882</f>
        <v>108097</v>
      </c>
      <c r="AV5" s="92">
        <v>106207</v>
      </c>
      <c r="AW5" s="92">
        <v>199591</v>
      </c>
      <c r="AX5" s="92">
        <v>45978</v>
      </c>
      <c r="AY5" s="92">
        <v>94593</v>
      </c>
      <c r="AZ5" s="92">
        <v>241670</v>
      </c>
      <c r="BA5" s="92">
        <v>465968</v>
      </c>
      <c r="BB5" s="92">
        <v>158508</v>
      </c>
      <c r="BC5" s="92">
        <v>309874</v>
      </c>
      <c r="BD5" s="92">
        <v>747928.57</v>
      </c>
      <c r="BE5" s="92">
        <v>1424714.42</v>
      </c>
      <c r="BF5" s="92">
        <v>320802</v>
      </c>
      <c r="BG5" s="92">
        <v>577688</v>
      </c>
      <c r="BH5" s="92">
        <v>315913</v>
      </c>
      <c r="BI5" s="92">
        <v>624240</v>
      </c>
      <c r="BJ5" s="92">
        <v>17453</v>
      </c>
      <c r="BK5" s="92">
        <v>46460</v>
      </c>
      <c r="BL5" s="67">
        <f>B5+D5+F5+H5+J5+L5+N5+P5+R5+T5+V5+X5+Z5+AB5+AD5+AF5+AH5+AJ5+AL5+AN5+AP5+AR5+AT5+AV5+AX5+AZ5+BB5+BD5+BF5+BH5+BJ5</f>
        <v>4098351.11</v>
      </c>
      <c r="BM5" s="67">
        <f>C5+E5+G5+I5+K5+M5+O5+Q5+S5+U5+W5+Y5+AA5+AC5+AE5+AG5+AI5+AK5+AM5+AO5+AQ5+AS5+AU5+AW5+AY5+BA5+BC5+BE5+BG5+BI5+BK5</f>
        <v>7453401.2000000002</v>
      </c>
    </row>
    <row r="6" spans="1:65" ht="30" x14ac:dyDescent="0.25">
      <c r="A6" s="2" t="s">
        <v>22</v>
      </c>
      <c r="B6" s="92">
        <v>54</v>
      </c>
      <c r="C6" s="92">
        <v>106</v>
      </c>
      <c r="D6" s="92">
        <v>138</v>
      </c>
      <c r="E6" s="92">
        <v>330</v>
      </c>
      <c r="F6" s="92">
        <v>1436</v>
      </c>
      <c r="G6" s="92">
        <v>1644</v>
      </c>
      <c r="H6" s="92">
        <v>14073</v>
      </c>
      <c r="I6" s="92">
        <v>22729</v>
      </c>
      <c r="J6" s="92">
        <v>100.6</v>
      </c>
      <c r="K6" s="92">
        <v>198.33</v>
      </c>
      <c r="L6" s="92">
        <v>2425</v>
      </c>
      <c r="M6" s="92">
        <v>5001</v>
      </c>
      <c r="N6" s="92">
        <v>335</v>
      </c>
      <c r="O6" s="92">
        <v>434</v>
      </c>
      <c r="P6" s="92">
        <v>2580.17</v>
      </c>
      <c r="Q6" s="92">
        <v>4446.83</v>
      </c>
      <c r="R6" s="92">
        <v>156.21</v>
      </c>
      <c r="S6" s="92">
        <v>250.16</v>
      </c>
      <c r="T6" s="92">
        <v>1158.6300000000001</v>
      </c>
      <c r="U6" s="92">
        <v>1561.99</v>
      </c>
      <c r="V6" s="92">
        <v>3790</v>
      </c>
      <c r="W6" s="92">
        <v>6356</v>
      </c>
      <c r="X6" s="92">
        <v>10937</v>
      </c>
      <c r="Y6" s="92">
        <v>33422</v>
      </c>
      <c r="Z6" s="92">
        <v>4234</v>
      </c>
      <c r="AA6" s="92">
        <v>4369</v>
      </c>
      <c r="AB6" s="92">
        <v>238.8</v>
      </c>
      <c r="AC6" s="92">
        <v>245.93</v>
      </c>
      <c r="AD6" s="92">
        <v>242.34</v>
      </c>
      <c r="AE6" s="92">
        <v>285</v>
      </c>
      <c r="AF6" s="92">
        <v>325.58999999999997</v>
      </c>
      <c r="AG6" s="92">
        <v>604</v>
      </c>
      <c r="AH6" s="92">
        <v>37.01</v>
      </c>
      <c r="AI6" s="92">
        <v>208.75</v>
      </c>
      <c r="AJ6" s="92">
        <v>321.11</v>
      </c>
      <c r="AK6" s="92">
        <v>322.62</v>
      </c>
      <c r="AL6" s="92">
        <v>28274.2</v>
      </c>
      <c r="AM6" s="92">
        <v>46167.26</v>
      </c>
      <c r="AN6" s="92">
        <v>191</v>
      </c>
      <c r="AO6" s="92">
        <v>675</v>
      </c>
      <c r="AP6" s="92">
        <v>20</v>
      </c>
      <c r="AQ6" s="92">
        <v>31</v>
      </c>
      <c r="AR6" s="76">
        <v>2248</v>
      </c>
      <c r="AS6" s="76">
        <v>3055</v>
      </c>
      <c r="AT6" s="76">
        <f>8+39+1433</f>
        <v>1480</v>
      </c>
      <c r="AU6" s="76">
        <f>28+155+4998</f>
        <v>5181</v>
      </c>
      <c r="AV6" s="92">
        <v>867</v>
      </c>
      <c r="AW6" s="92">
        <v>5810</v>
      </c>
      <c r="AX6" s="92">
        <v>1071</v>
      </c>
      <c r="AY6" s="92">
        <v>4396</v>
      </c>
      <c r="AZ6" s="92">
        <v>8428</v>
      </c>
      <c r="BA6" s="92">
        <v>8611</v>
      </c>
      <c r="BB6" s="92">
        <v>6965</v>
      </c>
      <c r="BC6" s="92">
        <v>18364</v>
      </c>
      <c r="BD6" s="92">
        <v>70705.490000000005</v>
      </c>
      <c r="BE6" s="92">
        <v>98472.25</v>
      </c>
      <c r="BF6" s="92">
        <v>16786</v>
      </c>
      <c r="BG6" s="92">
        <v>30523</v>
      </c>
      <c r="BH6" s="92">
        <v>17017</v>
      </c>
      <c r="BI6" s="92">
        <v>25314</v>
      </c>
      <c r="BJ6" s="92">
        <v>617</v>
      </c>
      <c r="BK6" s="92">
        <v>1027</v>
      </c>
      <c r="BL6" s="67">
        <f t="shared" ref="BL6:BL15" si="0">B6+D6+F6+H6+J6+L6+N6+P6+R6+T6+V6+X6+Z6+AB6+AD6+AF6+AH6+AJ6+AL6+AN6+AP6+AR6+AT6+AV6+AX6+AZ6+BB6+BD6+BF6+BH6+BJ6</f>
        <v>197252.15000000002</v>
      </c>
      <c r="BM6" s="67">
        <f t="shared" ref="BM6:BM15" si="1">C6+E6+G6+I6+K6+M6+O6+Q6+S6+U6+W6+Y6+AA6+AC6+AE6+AG6+AI6+AK6+AM6+AO6+AQ6+AS6+AU6+AW6+AY6+BA6+BC6+BE6+BG6+BI6+BK6</f>
        <v>330141.12</v>
      </c>
    </row>
    <row r="7" spans="1:65" x14ac:dyDescent="0.25">
      <c r="A7" s="2" t="s">
        <v>24</v>
      </c>
      <c r="B7" s="92">
        <v>631</v>
      </c>
      <c r="C7" s="92">
        <v>1135</v>
      </c>
      <c r="D7" s="71">
        <v>1494</v>
      </c>
      <c r="E7" s="92">
        <v>2964</v>
      </c>
      <c r="F7" s="92">
        <v>19167</v>
      </c>
      <c r="G7" s="92">
        <v>36578</v>
      </c>
      <c r="H7" s="92">
        <v>27774</v>
      </c>
      <c r="I7" s="92">
        <v>55771</v>
      </c>
      <c r="J7" s="92">
        <v>3087.19</v>
      </c>
      <c r="K7" s="92">
        <v>6042.05</v>
      </c>
      <c r="L7" s="92">
        <v>15133</v>
      </c>
      <c r="M7" s="92">
        <v>30749</v>
      </c>
      <c r="N7" s="92">
        <v>7713</v>
      </c>
      <c r="O7" s="92">
        <v>14879</v>
      </c>
      <c r="P7" s="92">
        <v>13260.68</v>
      </c>
      <c r="Q7" s="92">
        <v>25441.1</v>
      </c>
      <c r="R7" s="92">
        <v>361.83</v>
      </c>
      <c r="S7" s="92">
        <v>706.55</v>
      </c>
      <c r="T7" s="92">
        <v>7646.74</v>
      </c>
      <c r="U7" s="92">
        <v>15555.11</v>
      </c>
      <c r="V7" s="92">
        <v>22050</v>
      </c>
      <c r="W7" s="92">
        <v>43739</v>
      </c>
      <c r="X7" s="92">
        <v>44240</v>
      </c>
      <c r="Y7" s="92">
        <v>88600</v>
      </c>
      <c r="Z7" s="92">
        <v>15746</v>
      </c>
      <c r="AA7" s="92">
        <v>30882</v>
      </c>
      <c r="AB7" s="92">
        <v>1141.44</v>
      </c>
      <c r="AC7" s="92">
        <v>2283.9499999999998</v>
      </c>
      <c r="AD7" s="92">
        <v>3896</v>
      </c>
      <c r="AE7" s="92">
        <v>7855</v>
      </c>
      <c r="AF7" s="92">
        <v>4513.21</v>
      </c>
      <c r="AG7" s="92">
        <v>8682.3799999999992</v>
      </c>
      <c r="AH7" s="92">
        <v>887.92</v>
      </c>
      <c r="AI7" s="92">
        <v>1697.34</v>
      </c>
      <c r="AJ7" s="92">
        <v>1946.58</v>
      </c>
      <c r="AK7" s="92">
        <v>3690.33</v>
      </c>
      <c r="AL7" s="92">
        <v>46987.98</v>
      </c>
      <c r="AM7" s="92">
        <v>89127</v>
      </c>
      <c r="AN7" s="92">
        <v>498</v>
      </c>
      <c r="AO7" s="92">
        <v>1032</v>
      </c>
      <c r="AP7" s="92">
        <v>856</v>
      </c>
      <c r="AQ7" s="92">
        <v>1694</v>
      </c>
      <c r="AR7" s="76">
        <v>19550</v>
      </c>
      <c r="AS7" s="76">
        <v>19006</v>
      </c>
      <c r="AT7" s="76">
        <f>45+241+8150</f>
        <v>8436</v>
      </c>
      <c r="AU7" s="76">
        <f>89+502+16155</f>
        <v>16746</v>
      </c>
      <c r="AV7" s="92">
        <v>11065</v>
      </c>
      <c r="AW7" s="92">
        <v>22593</v>
      </c>
      <c r="AX7" s="92">
        <v>15641</v>
      </c>
      <c r="AY7" s="92">
        <v>31022</v>
      </c>
      <c r="AZ7" s="92">
        <v>9705</v>
      </c>
      <c r="BA7" s="92">
        <v>18414</v>
      </c>
      <c r="BB7" s="92">
        <v>24266</v>
      </c>
      <c r="BC7" s="92">
        <v>46145</v>
      </c>
      <c r="BD7" s="92">
        <v>79571.75</v>
      </c>
      <c r="BE7" s="92">
        <v>144293.32</v>
      </c>
      <c r="BF7" s="92">
        <v>51002</v>
      </c>
      <c r="BG7" s="92">
        <v>81571</v>
      </c>
      <c r="BH7" s="92">
        <v>50565</v>
      </c>
      <c r="BI7" s="92">
        <v>90824</v>
      </c>
      <c r="BJ7" s="92">
        <v>3572</v>
      </c>
      <c r="BK7" s="92">
        <v>8623</v>
      </c>
      <c r="BL7" s="67">
        <f t="shared" si="0"/>
        <v>512405.32</v>
      </c>
      <c r="BM7" s="67">
        <f t="shared" si="1"/>
        <v>948341.13000000012</v>
      </c>
    </row>
    <row r="8" spans="1:65" x14ac:dyDescent="0.25">
      <c r="A8" s="2" t="s">
        <v>23</v>
      </c>
      <c r="B8" s="76">
        <f t="shared" ref="B8:AG8" si="2">B9-B7-B6-B5</f>
        <v>0</v>
      </c>
      <c r="C8" s="76">
        <f t="shared" si="2"/>
        <v>0</v>
      </c>
      <c r="D8" s="76">
        <f t="shared" si="2"/>
        <v>0</v>
      </c>
      <c r="E8" s="76">
        <f t="shared" si="2"/>
        <v>0</v>
      </c>
      <c r="F8" s="76">
        <f t="shared" si="2"/>
        <v>783</v>
      </c>
      <c r="G8" s="76">
        <f t="shared" si="2"/>
        <v>888</v>
      </c>
      <c r="H8" s="76">
        <f t="shared" si="2"/>
        <v>460</v>
      </c>
      <c r="I8" s="76">
        <f t="shared" si="2"/>
        <v>1184</v>
      </c>
      <c r="J8" s="76">
        <f t="shared" si="2"/>
        <v>0</v>
      </c>
      <c r="K8" s="76">
        <f t="shared" si="2"/>
        <v>0</v>
      </c>
      <c r="L8" s="76">
        <f t="shared" si="2"/>
        <v>7169</v>
      </c>
      <c r="M8" s="76">
        <f t="shared" si="2"/>
        <v>11800</v>
      </c>
      <c r="N8" s="76">
        <f t="shared" si="2"/>
        <v>111</v>
      </c>
      <c r="O8" s="76">
        <f t="shared" si="2"/>
        <v>113</v>
      </c>
      <c r="P8" s="76">
        <f t="shared" si="2"/>
        <v>60.110000000000582</v>
      </c>
      <c r="Q8" s="76">
        <f t="shared" si="2"/>
        <v>86.000000000007276</v>
      </c>
      <c r="R8" s="76">
        <f t="shared" si="2"/>
        <v>1.7600000000002183</v>
      </c>
      <c r="S8" s="76">
        <f t="shared" si="2"/>
        <v>1.8899999999994179</v>
      </c>
      <c r="T8" s="76">
        <f t="shared" si="2"/>
        <v>1745.0200000000041</v>
      </c>
      <c r="U8" s="76">
        <f t="shared" si="2"/>
        <v>1755.9899999999907</v>
      </c>
      <c r="V8" s="76">
        <f t="shared" si="2"/>
        <v>220</v>
      </c>
      <c r="W8" s="76">
        <f t="shared" si="2"/>
        <v>333</v>
      </c>
      <c r="X8" s="76">
        <f t="shared" si="2"/>
        <v>611</v>
      </c>
      <c r="Y8" s="76">
        <f t="shared" si="2"/>
        <v>1675</v>
      </c>
      <c r="Z8" s="76">
        <f t="shared" si="2"/>
        <v>-144</v>
      </c>
      <c r="AA8" s="76">
        <f t="shared" si="2"/>
        <v>-171</v>
      </c>
      <c r="AB8" s="76">
        <f t="shared" si="2"/>
        <v>0.96000000000094587</v>
      </c>
      <c r="AC8" s="76">
        <f t="shared" si="2"/>
        <v>2.1799999999966531</v>
      </c>
      <c r="AD8" s="76">
        <f t="shared" si="2"/>
        <v>1.6599999999998545</v>
      </c>
      <c r="AE8" s="76">
        <f t="shared" si="2"/>
        <v>17</v>
      </c>
      <c r="AF8" s="76">
        <f t="shared" si="2"/>
        <v>752.67000000000189</v>
      </c>
      <c r="AG8" s="76">
        <f t="shared" si="2"/>
        <v>1007.6600000000035</v>
      </c>
      <c r="AH8" s="76">
        <f t="shared" ref="AH8:BK8" si="3">AH9-AH7-AH6-AH5</f>
        <v>0</v>
      </c>
      <c r="AI8" s="76">
        <f t="shared" si="3"/>
        <v>0</v>
      </c>
      <c r="AJ8" s="76">
        <f t="shared" si="3"/>
        <v>3538.4499999999971</v>
      </c>
      <c r="AK8" s="76">
        <f t="shared" si="3"/>
        <v>7029.0400000000081</v>
      </c>
      <c r="AL8" s="76">
        <f t="shared" si="3"/>
        <v>0</v>
      </c>
      <c r="AM8" s="76">
        <f t="shared" si="3"/>
        <v>0</v>
      </c>
      <c r="AN8" s="76">
        <f t="shared" si="3"/>
        <v>1</v>
      </c>
      <c r="AO8" s="76">
        <f t="shared" si="3"/>
        <v>1</v>
      </c>
      <c r="AP8" s="76">
        <f t="shared" si="3"/>
        <v>1021</v>
      </c>
      <c r="AQ8" s="76">
        <f t="shared" si="3"/>
        <v>2742</v>
      </c>
      <c r="AR8" s="76">
        <f t="shared" si="3"/>
        <v>6133</v>
      </c>
      <c r="AS8" s="76">
        <f t="shared" si="3"/>
        <v>308</v>
      </c>
      <c r="AT8" s="76">
        <f t="shared" si="3"/>
        <v>146</v>
      </c>
      <c r="AU8" s="76">
        <f t="shared" si="3"/>
        <v>321</v>
      </c>
      <c r="AV8" s="76">
        <f t="shared" si="3"/>
        <v>31</v>
      </c>
      <c r="AW8" s="76">
        <f t="shared" si="3"/>
        <v>77</v>
      </c>
      <c r="AX8" s="76">
        <f t="shared" si="3"/>
        <v>68</v>
      </c>
      <c r="AY8" s="76">
        <f t="shared" si="3"/>
        <v>72</v>
      </c>
      <c r="AZ8" s="76">
        <f t="shared" si="3"/>
        <v>1</v>
      </c>
      <c r="BA8" s="76">
        <f t="shared" si="3"/>
        <v>0</v>
      </c>
      <c r="BB8" s="76">
        <f t="shared" si="3"/>
        <v>225</v>
      </c>
      <c r="BC8" s="76">
        <f t="shared" si="3"/>
        <v>489</v>
      </c>
      <c r="BD8" s="76">
        <f t="shared" si="3"/>
        <v>-9.9999998928979039E-3</v>
      </c>
      <c r="BE8" s="76">
        <f t="shared" si="3"/>
        <v>0</v>
      </c>
      <c r="BF8" s="76">
        <f t="shared" si="3"/>
        <v>307167</v>
      </c>
      <c r="BG8" s="76">
        <f t="shared" si="3"/>
        <v>-2814</v>
      </c>
      <c r="BH8" s="76">
        <f t="shared" si="3"/>
        <v>33</v>
      </c>
      <c r="BI8" s="76">
        <f t="shared" si="3"/>
        <v>49</v>
      </c>
      <c r="BJ8" s="76">
        <f t="shared" si="3"/>
        <v>1</v>
      </c>
      <c r="BK8" s="76">
        <f t="shared" si="3"/>
        <v>-1</v>
      </c>
      <c r="BL8" s="67">
        <f>B8+D8+F8+H8+J8+L8+N8+P8+R8+T8+V8+X8+Z8+AB8+AD8+AF8+AH8+AJ8+AL8+AN8+AP8+AR8+AT8+AV8+AX8+AZ8+BB8+BD8+BF8+BH8+BJ8</f>
        <v>330137.62000000011</v>
      </c>
      <c r="BM8" s="67">
        <f>C8+E8+G8+I8+K8+M8+O8+Q8+S8+U8+W8+Y8+AA8+AC8+AE8+AG8+AI8+AK8+AM8+AO8+AQ8+AS8+AU8+AW8+AY8+BA8+BC8+BE8+BG8+BI8+BK8</f>
        <v>26965.760000000006</v>
      </c>
    </row>
    <row r="9" spans="1:65" s="7" customFormat="1" x14ac:dyDescent="0.25">
      <c r="A9" s="3" t="s">
        <v>25</v>
      </c>
      <c r="B9" s="10">
        <v>11369</v>
      </c>
      <c r="C9" s="10">
        <v>19067</v>
      </c>
      <c r="D9" s="10">
        <v>28264</v>
      </c>
      <c r="E9" s="10">
        <v>53731</v>
      </c>
      <c r="F9" s="10">
        <v>284127</v>
      </c>
      <c r="G9" s="10">
        <v>368542</v>
      </c>
      <c r="H9" s="10">
        <v>246919</v>
      </c>
      <c r="I9" s="10">
        <v>465809</v>
      </c>
      <c r="J9" s="10">
        <v>65617.649999999994</v>
      </c>
      <c r="K9" s="10">
        <v>115638.13</v>
      </c>
      <c r="L9" s="10">
        <v>110165</v>
      </c>
      <c r="M9" s="10">
        <v>216723</v>
      </c>
      <c r="N9" s="10">
        <v>88460</v>
      </c>
      <c r="O9" s="10">
        <v>164363</v>
      </c>
      <c r="P9" s="10">
        <v>38443.86</v>
      </c>
      <c r="Q9" s="10">
        <v>65661.240000000005</v>
      </c>
      <c r="R9" s="10">
        <v>6515.84</v>
      </c>
      <c r="S9" s="10">
        <v>11941.05</v>
      </c>
      <c r="T9" s="10">
        <v>69010.67</v>
      </c>
      <c r="U9" s="10">
        <v>130277.25</v>
      </c>
      <c r="V9" s="10">
        <v>207113</v>
      </c>
      <c r="W9" s="10">
        <v>388072</v>
      </c>
      <c r="X9" s="10">
        <v>380817</v>
      </c>
      <c r="Y9" s="10">
        <v>763940</v>
      </c>
      <c r="Z9" s="10">
        <v>157914</v>
      </c>
      <c r="AA9" s="10">
        <v>303943</v>
      </c>
      <c r="AB9" s="10">
        <v>12804.91</v>
      </c>
      <c r="AC9" s="10">
        <v>25484.1</v>
      </c>
      <c r="AD9" s="10">
        <v>35940</v>
      </c>
      <c r="AE9" s="10">
        <v>70490</v>
      </c>
      <c r="AF9" s="10">
        <v>28002.16</v>
      </c>
      <c r="AG9" s="10">
        <v>52944.81</v>
      </c>
      <c r="AH9" s="10">
        <v>20656.79</v>
      </c>
      <c r="AI9" s="10">
        <v>38441.5</v>
      </c>
      <c r="AJ9" s="10">
        <v>47184.39</v>
      </c>
      <c r="AK9" s="10">
        <v>86568.58</v>
      </c>
      <c r="AL9" s="10">
        <v>423292.13</v>
      </c>
      <c r="AM9" s="10">
        <v>759733.56</v>
      </c>
      <c r="AN9" s="10">
        <v>2725</v>
      </c>
      <c r="AO9" s="10">
        <v>5772</v>
      </c>
      <c r="AP9" s="10">
        <v>9059</v>
      </c>
      <c r="AQ9" s="10">
        <v>18399</v>
      </c>
      <c r="AR9" s="10">
        <v>168308</v>
      </c>
      <c r="AS9" s="10">
        <v>125960</v>
      </c>
      <c r="AT9" s="10">
        <f>567+2149+62892</f>
        <v>65608</v>
      </c>
      <c r="AU9" s="10">
        <f>1227+4010+125108</f>
        <v>130345</v>
      </c>
      <c r="AV9" s="10">
        <v>118170</v>
      </c>
      <c r="AW9" s="10">
        <v>228071</v>
      </c>
      <c r="AX9" s="10">
        <v>62758</v>
      </c>
      <c r="AY9" s="10">
        <v>130083</v>
      </c>
      <c r="AZ9" s="10">
        <v>259804</v>
      </c>
      <c r="BA9" s="10">
        <v>492993</v>
      </c>
      <c r="BB9" s="10">
        <v>189964</v>
      </c>
      <c r="BC9" s="10">
        <v>374872</v>
      </c>
      <c r="BD9" s="10">
        <v>898205.8</v>
      </c>
      <c r="BE9" s="10">
        <v>1667479.99</v>
      </c>
      <c r="BF9" s="10">
        <v>695757</v>
      </c>
      <c r="BG9" s="10">
        <v>686968</v>
      </c>
      <c r="BH9" s="10">
        <v>383528</v>
      </c>
      <c r="BI9" s="10">
        <v>740427</v>
      </c>
      <c r="BJ9" s="10">
        <v>21643</v>
      </c>
      <c r="BK9" s="10">
        <v>56109</v>
      </c>
      <c r="BL9" s="63">
        <f t="shared" si="0"/>
        <v>5138146.2</v>
      </c>
      <c r="BM9" s="63">
        <f t="shared" si="1"/>
        <v>8758849.2100000009</v>
      </c>
    </row>
    <row r="10" spans="1:65" x14ac:dyDescent="0.25">
      <c r="A10" s="2" t="s">
        <v>26</v>
      </c>
      <c r="B10" s="92">
        <v>11363</v>
      </c>
      <c r="C10" s="92">
        <v>20373</v>
      </c>
      <c r="D10" s="92">
        <v>18951</v>
      </c>
      <c r="E10" s="92">
        <v>43472</v>
      </c>
      <c r="F10" s="92">
        <v>263079</v>
      </c>
      <c r="G10" s="92">
        <v>339699</v>
      </c>
      <c r="H10" s="92">
        <v>158710</v>
      </c>
      <c r="I10" s="92">
        <v>296424</v>
      </c>
      <c r="J10" s="92">
        <v>38014.720000000001</v>
      </c>
      <c r="K10" s="92">
        <v>86939.28</v>
      </c>
      <c r="L10" s="92">
        <v>59874</v>
      </c>
      <c r="M10" s="92">
        <v>126629</v>
      </c>
      <c r="N10" s="92">
        <v>62466</v>
      </c>
      <c r="O10" s="92">
        <v>114759</v>
      </c>
      <c r="P10" s="92">
        <v>34608.32</v>
      </c>
      <c r="Q10" s="92">
        <v>74829.86</v>
      </c>
      <c r="R10" s="92">
        <v>5893.48</v>
      </c>
      <c r="S10" s="92">
        <v>11566.54</v>
      </c>
      <c r="T10" s="92">
        <v>37805.89</v>
      </c>
      <c r="U10" s="92">
        <v>78109.72</v>
      </c>
      <c r="V10" s="92">
        <v>150838</v>
      </c>
      <c r="W10" s="92">
        <v>299716</v>
      </c>
      <c r="X10" s="92">
        <v>226995</v>
      </c>
      <c r="Y10" s="92">
        <v>508911</v>
      </c>
      <c r="Z10" s="92">
        <v>139922</v>
      </c>
      <c r="AA10" s="92">
        <v>256892</v>
      </c>
      <c r="AB10" s="92">
        <v>9255.98</v>
      </c>
      <c r="AC10" s="92">
        <v>18127.009999999998</v>
      </c>
      <c r="AD10" s="92">
        <v>20756</v>
      </c>
      <c r="AE10" s="92">
        <v>39640</v>
      </c>
      <c r="AF10" s="92">
        <v>15671.34</v>
      </c>
      <c r="AG10" s="92">
        <v>30980.93</v>
      </c>
      <c r="AH10" s="92">
        <v>16587.099999999999</v>
      </c>
      <c r="AI10" s="92">
        <v>34981.24</v>
      </c>
      <c r="AJ10" s="92">
        <v>24576.49</v>
      </c>
      <c r="AK10" s="92">
        <v>54289.37</v>
      </c>
      <c r="AL10" s="92">
        <v>322823.83</v>
      </c>
      <c r="AM10" s="92">
        <v>646082.84</v>
      </c>
      <c r="AN10" s="92">
        <v>1264</v>
      </c>
      <c r="AO10" s="92">
        <v>2410</v>
      </c>
      <c r="AP10" s="92">
        <v>6150</v>
      </c>
      <c r="AQ10" s="92">
        <v>12348</v>
      </c>
      <c r="AR10" s="76">
        <v>108513</v>
      </c>
      <c r="AS10" s="76">
        <v>82799</v>
      </c>
      <c r="AT10" s="76">
        <f>469+527+47175</f>
        <v>48171</v>
      </c>
      <c r="AU10" s="76">
        <f>761+1155+91480</f>
        <v>93396</v>
      </c>
      <c r="AV10" s="92">
        <v>98592</v>
      </c>
      <c r="AW10" s="92">
        <v>175767</v>
      </c>
      <c r="AX10" s="92">
        <v>35112</v>
      </c>
      <c r="AY10" s="92">
        <v>75298</v>
      </c>
      <c r="AZ10" s="92">
        <v>206958</v>
      </c>
      <c r="BA10" s="92">
        <v>411099</v>
      </c>
      <c r="BB10" s="92">
        <v>121775</v>
      </c>
      <c r="BC10" s="92">
        <v>237903</v>
      </c>
      <c r="BD10" s="92">
        <v>808806.45</v>
      </c>
      <c r="BE10" s="92">
        <v>1437595.7</v>
      </c>
      <c r="BF10" s="92">
        <v>353457</v>
      </c>
      <c r="BG10" s="92">
        <v>653373</v>
      </c>
      <c r="BH10" s="92">
        <v>310571</v>
      </c>
      <c r="BI10" s="92">
        <v>630477</v>
      </c>
      <c r="BJ10" s="92">
        <v>13701</v>
      </c>
      <c r="BK10" s="92">
        <v>33504</v>
      </c>
      <c r="BL10" s="67">
        <f t="shared" si="0"/>
        <v>3731261.6000000006</v>
      </c>
      <c r="BM10" s="67">
        <f t="shared" si="1"/>
        <v>6928391.4900000002</v>
      </c>
    </row>
    <row r="11" spans="1:65" x14ac:dyDescent="0.25">
      <c r="A11" s="2" t="s">
        <v>27</v>
      </c>
      <c r="B11" s="92">
        <v>-642</v>
      </c>
      <c r="C11" s="92">
        <v>-908</v>
      </c>
      <c r="D11" s="92">
        <v>1971</v>
      </c>
      <c r="E11" s="92">
        <v>1950</v>
      </c>
      <c r="F11" s="92">
        <v>-14512</v>
      </c>
      <c r="G11" s="92">
        <v>-14359</v>
      </c>
      <c r="H11" s="92">
        <v>-8895</v>
      </c>
      <c r="I11" s="92">
        <v>-13892</v>
      </c>
      <c r="J11" s="92">
        <v>1459.47</v>
      </c>
      <c r="K11" s="92">
        <v>2501.89</v>
      </c>
      <c r="L11" s="92">
        <v>5754</v>
      </c>
      <c r="M11" s="92">
        <v>6608</v>
      </c>
      <c r="N11" s="92">
        <v>4459</v>
      </c>
      <c r="O11" s="92">
        <v>6690</v>
      </c>
      <c r="P11" s="92">
        <v>-525.99</v>
      </c>
      <c r="Q11" s="92">
        <v>-982.2</v>
      </c>
      <c r="R11" s="92">
        <v>336.96</v>
      </c>
      <c r="S11" s="92">
        <v>639.48</v>
      </c>
      <c r="T11" s="92">
        <v>1670.39</v>
      </c>
      <c r="U11" s="92">
        <v>2113.35</v>
      </c>
      <c r="V11" s="92">
        <v>-12108</v>
      </c>
      <c r="W11" s="92">
        <v>-17589</v>
      </c>
      <c r="X11" s="92">
        <v>14354</v>
      </c>
      <c r="Y11" s="92">
        <v>27110</v>
      </c>
      <c r="Z11" s="92">
        <v>7679</v>
      </c>
      <c r="AA11" s="92">
        <v>16142</v>
      </c>
      <c r="AB11" s="92">
        <v>393.85</v>
      </c>
      <c r="AC11" s="92">
        <v>717.86</v>
      </c>
      <c r="AD11" s="92">
        <v>3146</v>
      </c>
      <c r="AE11" s="92">
        <v>5519</v>
      </c>
      <c r="AF11" s="92">
        <v>-109.94</v>
      </c>
      <c r="AG11" s="92">
        <v>-1314.27</v>
      </c>
      <c r="AH11" s="92">
        <v>2437.67</v>
      </c>
      <c r="AI11" s="92">
        <v>4411.12</v>
      </c>
      <c r="AJ11" s="92">
        <v>959.99</v>
      </c>
      <c r="AK11" s="92">
        <v>2518.04</v>
      </c>
      <c r="AL11" s="92">
        <v>20949.52</v>
      </c>
      <c r="AM11" s="92">
        <v>39151.32</v>
      </c>
      <c r="AN11" s="92">
        <v>161</v>
      </c>
      <c r="AO11" s="92">
        <v>193</v>
      </c>
      <c r="AP11" s="92">
        <v>1052</v>
      </c>
      <c r="AQ11" s="92">
        <v>2117</v>
      </c>
      <c r="AR11" s="76">
        <v>-1843</v>
      </c>
      <c r="AS11" s="76">
        <v>-579</v>
      </c>
      <c r="AT11" s="76">
        <f>94-110+4227</f>
        <v>4211</v>
      </c>
      <c r="AU11" s="76">
        <f>138-725+6368</f>
        <v>5781</v>
      </c>
      <c r="AV11" s="92">
        <v>-11807</v>
      </c>
      <c r="AW11" s="92">
        <v>-8320</v>
      </c>
      <c r="AX11" s="92">
        <v>2219</v>
      </c>
      <c r="AY11" s="92">
        <v>3980</v>
      </c>
      <c r="AZ11" s="92">
        <v>35969</v>
      </c>
      <c r="BA11" s="92">
        <v>62619</v>
      </c>
      <c r="BB11" s="92">
        <v>8408</v>
      </c>
      <c r="BC11" s="92">
        <v>12060</v>
      </c>
      <c r="BD11" s="92">
        <v>53001.62</v>
      </c>
      <c r="BE11" s="92">
        <v>102957.78</v>
      </c>
      <c r="BF11" s="92">
        <v>24633</v>
      </c>
      <c r="BG11" s="92">
        <v>41601</v>
      </c>
      <c r="BH11" s="92">
        <v>21873</v>
      </c>
      <c r="BI11" s="92">
        <v>40490</v>
      </c>
      <c r="BJ11" s="92">
        <v>-1538</v>
      </c>
      <c r="BK11" s="92">
        <v>1495</v>
      </c>
      <c r="BL11" s="67">
        <f t="shared" si="0"/>
        <v>165117.54</v>
      </c>
      <c r="BM11" s="67">
        <f t="shared" si="1"/>
        <v>331422.37</v>
      </c>
    </row>
    <row r="12" spans="1:65" ht="30" x14ac:dyDescent="0.25">
      <c r="A12" s="2" t="s">
        <v>28</v>
      </c>
      <c r="B12" s="92">
        <v>11684</v>
      </c>
      <c r="C12" s="92">
        <v>22626</v>
      </c>
      <c r="D12" s="92">
        <v>18203</v>
      </c>
      <c r="E12" s="92">
        <v>32458</v>
      </c>
      <c r="F12" s="92">
        <v>13044</v>
      </c>
      <c r="G12" s="92">
        <v>20490</v>
      </c>
      <c r="H12" s="92">
        <v>54355</v>
      </c>
      <c r="I12" s="92">
        <v>101679</v>
      </c>
      <c r="J12" s="92">
        <v>24757.279999999999</v>
      </c>
      <c r="K12" s="92">
        <v>45335.78</v>
      </c>
      <c r="L12" s="92">
        <v>32978</v>
      </c>
      <c r="M12" s="92">
        <v>59139</v>
      </c>
      <c r="N12" s="92">
        <v>31565</v>
      </c>
      <c r="O12" s="92">
        <v>52328</v>
      </c>
      <c r="P12" s="92">
        <v>6010.72</v>
      </c>
      <c r="Q12" s="92">
        <v>11288.5</v>
      </c>
      <c r="R12" s="92">
        <v>2975.81</v>
      </c>
      <c r="S12" s="92">
        <v>5959.81</v>
      </c>
      <c r="T12" s="92">
        <v>25724.41</v>
      </c>
      <c r="U12" s="92">
        <v>46195.99</v>
      </c>
      <c r="V12" s="92">
        <v>50294</v>
      </c>
      <c r="W12" s="92">
        <v>95861</v>
      </c>
      <c r="X12" s="92">
        <v>93754</v>
      </c>
      <c r="Y12" s="92">
        <v>176787</v>
      </c>
      <c r="Z12" s="92">
        <v>23112</v>
      </c>
      <c r="AA12" s="92">
        <v>42606</v>
      </c>
      <c r="AB12" s="92">
        <v>5217.6000000000004</v>
      </c>
      <c r="AC12" s="92">
        <v>9462.2900000000009</v>
      </c>
      <c r="AD12" s="92">
        <v>11431</v>
      </c>
      <c r="AE12" s="92">
        <v>23499</v>
      </c>
      <c r="AF12" s="92">
        <v>12950.5</v>
      </c>
      <c r="AG12" s="92">
        <v>22450.61</v>
      </c>
      <c r="AH12" s="92">
        <v>9250.33</v>
      </c>
      <c r="AI12" s="92">
        <v>16974.55</v>
      </c>
      <c r="AJ12" s="92">
        <v>17668.099999999999</v>
      </c>
      <c r="AK12" s="92">
        <v>35393.82</v>
      </c>
      <c r="AL12" s="92">
        <v>78960.490000000005</v>
      </c>
      <c r="AM12" s="92">
        <v>137662.78</v>
      </c>
      <c r="AN12" s="92">
        <v>4413</v>
      </c>
      <c r="AO12" s="92">
        <v>5660</v>
      </c>
      <c r="AP12" s="92">
        <v>3408</v>
      </c>
      <c r="AQ12" s="92">
        <v>7411</v>
      </c>
      <c r="AR12" s="76">
        <v>46000</v>
      </c>
      <c r="AS12" s="76">
        <v>35047</v>
      </c>
      <c r="AT12" s="76">
        <f>90+340+12412</f>
        <v>12842</v>
      </c>
      <c r="AU12" s="76">
        <f>297+948+23920</f>
        <v>25165</v>
      </c>
      <c r="AV12" s="92">
        <v>31813</v>
      </c>
      <c r="AW12" s="92">
        <v>57118</v>
      </c>
      <c r="AX12" s="92">
        <v>9746</v>
      </c>
      <c r="AY12" s="92">
        <v>18318</v>
      </c>
      <c r="AZ12" s="92">
        <v>50337</v>
      </c>
      <c r="BA12" s="92">
        <v>85442</v>
      </c>
      <c r="BB12" s="92">
        <v>55960</v>
      </c>
      <c r="BC12" s="92">
        <v>97487</v>
      </c>
      <c r="BD12" s="92">
        <v>81929.41</v>
      </c>
      <c r="BE12" s="92">
        <v>189072.02</v>
      </c>
      <c r="BF12" s="92">
        <v>63203</v>
      </c>
      <c r="BG12" s="92">
        <v>137600</v>
      </c>
      <c r="BH12" s="92">
        <v>89818</v>
      </c>
      <c r="BI12" s="92">
        <v>173314</v>
      </c>
      <c r="BJ12" s="92">
        <v>8646</v>
      </c>
      <c r="BK12" s="92">
        <v>15672</v>
      </c>
      <c r="BL12" s="67">
        <f t="shared" si="0"/>
        <v>982050.65</v>
      </c>
      <c r="BM12" s="67">
        <f t="shared" si="1"/>
        <v>1805503.1500000001</v>
      </c>
    </row>
    <row r="13" spans="1:65" x14ac:dyDescent="0.25">
      <c r="A13" s="2" t="s">
        <v>31</v>
      </c>
      <c r="B13" s="76">
        <f>B14-B12-B11-B10</f>
        <v>0</v>
      </c>
      <c r="C13" s="76">
        <f t="shared" ref="C13:I13" si="4">C14-C12-C11-C10</f>
        <v>0</v>
      </c>
      <c r="D13" s="76">
        <f t="shared" si="4"/>
        <v>0</v>
      </c>
      <c r="E13" s="76">
        <f t="shared" si="4"/>
        <v>0</v>
      </c>
      <c r="F13" s="76">
        <f t="shared" si="4"/>
        <v>6000</v>
      </c>
      <c r="G13" s="76">
        <f t="shared" si="4"/>
        <v>-4100</v>
      </c>
      <c r="H13" s="76">
        <f t="shared" si="4"/>
        <v>68</v>
      </c>
      <c r="I13" s="76">
        <f t="shared" si="4"/>
        <v>117</v>
      </c>
      <c r="J13" s="76">
        <f t="shared" ref="J13:BJ13" si="5">J14-J12-J11-J10</f>
        <v>-8597.0299999999988</v>
      </c>
      <c r="K13" s="76">
        <f t="shared" si="5"/>
        <v>-8597.0299999999988</v>
      </c>
      <c r="L13" s="76">
        <f t="shared" si="5"/>
        <v>1</v>
      </c>
      <c r="M13" s="76">
        <f t="shared" si="5"/>
        <v>0</v>
      </c>
      <c r="N13" s="76">
        <f t="shared" si="5"/>
        <v>-4</v>
      </c>
      <c r="O13" s="76">
        <f t="shared" ref="O13" si="6">O14-O12-O11-O10</f>
        <v>-2</v>
      </c>
      <c r="P13" s="76">
        <f t="shared" si="5"/>
        <v>-3455.9999999999964</v>
      </c>
      <c r="Q13" s="76">
        <f t="shared" si="5"/>
        <v>-13876</v>
      </c>
      <c r="R13" s="76">
        <f t="shared" si="5"/>
        <v>0</v>
      </c>
      <c r="S13" s="76">
        <f t="shared" si="5"/>
        <v>-383.62000000000262</v>
      </c>
      <c r="T13" s="76">
        <f t="shared" si="5"/>
        <v>-9.9999999947613105E-3</v>
      </c>
      <c r="U13" s="76">
        <f t="shared" si="5"/>
        <v>0</v>
      </c>
      <c r="V13" s="76">
        <f t="shared" si="5"/>
        <v>1</v>
      </c>
      <c r="W13" s="76">
        <f t="shared" ref="W13" si="7">W14-W12-W11-W10</f>
        <v>0</v>
      </c>
      <c r="X13" s="76">
        <f t="shared" si="5"/>
        <v>0</v>
      </c>
      <c r="Y13" s="76">
        <f t="shared" ref="Y13" si="8">Y14-Y12-Y11-Y10</f>
        <v>0</v>
      </c>
      <c r="Z13" s="76">
        <f t="shared" si="5"/>
        <v>0</v>
      </c>
      <c r="AA13" s="76">
        <f t="shared" ref="AA13" si="9">AA14-AA12-AA11-AA10</f>
        <v>0</v>
      </c>
      <c r="AB13" s="76">
        <f t="shared" si="5"/>
        <v>3.2999999999992724</v>
      </c>
      <c r="AC13" s="76">
        <f t="shared" ref="AC13" si="10">AC14-AC12-AC11-AC10</f>
        <v>5.7599999999983993</v>
      </c>
      <c r="AD13" s="76">
        <f t="shared" si="5"/>
        <v>-1</v>
      </c>
      <c r="AE13" s="76">
        <f t="shared" ref="AE13" si="11">AE14-AE12-AE11-AE10</f>
        <v>0</v>
      </c>
      <c r="AF13" s="76">
        <f t="shared" si="5"/>
        <v>2.7399999999997817</v>
      </c>
      <c r="AG13" s="76">
        <f t="shared" si="5"/>
        <v>-1.9200000000018917</v>
      </c>
      <c r="AH13" s="76">
        <f t="shared" si="5"/>
        <v>-9.9999999947613105E-3</v>
      </c>
      <c r="AI13" s="76">
        <f t="shared" si="5"/>
        <v>0</v>
      </c>
      <c r="AJ13" s="76">
        <f t="shared" si="5"/>
        <v>0</v>
      </c>
      <c r="AK13" s="76">
        <f t="shared" ref="AK13" si="12">AK14-AK12-AK11-AK10</f>
        <v>0</v>
      </c>
      <c r="AL13" s="76">
        <f t="shared" si="5"/>
        <v>1269.2599999999511</v>
      </c>
      <c r="AM13" s="76">
        <f t="shared" ref="AM13" si="13">AM14-AM12-AM11-AM10</f>
        <v>2441.8800000000047</v>
      </c>
      <c r="AN13" s="76">
        <f t="shared" si="5"/>
        <v>0</v>
      </c>
      <c r="AO13" s="76">
        <f t="shared" ref="AO13" si="14">AO14-AO12-AO11-AO10</f>
        <v>0</v>
      </c>
      <c r="AP13" s="76">
        <f t="shared" si="5"/>
        <v>0</v>
      </c>
      <c r="AQ13" s="76">
        <f t="shared" ref="AQ13" si="15">AQ14-AQ12-AQ11-AQ10</f>
        <v>0</v>
      </c>
      <c r="AR13" s="76">
        <f t="shared" si="5"/>
        <v>1</v>
      </c>
      <c r="AS13" s="76">
        <f t="shared" ref="AS13" si="16">AS14-AS12-AS11-AS10</f>
        <v>0</v>
      </c>
      <c r="AT13" s="76">
        <f t="shared" si="5"/>
        <v>-1</v>
      </c>
      <c r="AU13" s="76">
        <f t="shared" si="5"/>
        <v>0</v>
      </c>
      <c r="AV13" s="76">
        <f t="shared" si="5"/>
        <v>0</v>
      </c>
      <c r="AW13" s="76">
        <f t="shared" si="5"/>
        <v>0</v>
      </c>
      <c r="AX13" s="76">
        <f t="shared" si="5"/>
        <v>-1</v>
      </c>
      <c r="AY13" s="76">
        <f t="shared" ref="AY13" si="17">AY14-AY12-AY11-AY10</f>
        <v>1</v>
      </c>
      <c r="AZ13" s="76">
        <f t="shared" si="5"/>
        <v>0</v>
      </c>
      <c r="BA13" s="76">
        <f t="shared" si="5"/>
        <v>-1</v>
      </c>
      <c r="BB13" s="76">
        <f t="shared" si="5"/>
        <v>0</v>
      </c>
      <c r="BC13" s="76">
        <f t="shared" ref="BC13" si="18">BC14-BC12-BC11-BC10</f>
        <v>0</v>
      </c>
      <c r="BD13" s="76">
        <f t="shared" si="5"/>
        <v>-1328.7700000000186</v>
      </c>
      <c r="BE13" s="76">
        <f t="shared" si="5"/>
        <v>299.11000000010245</v>
      </c>
      <c r="BF13" s="76">
        <f t="shared" ref="BF13:BG13" si="19">BF14-BF12-BF11-BF10</f>
        <v>17124</v>
      </c>
      <c r="BG13" s="76">
        <f t="shared" si="19"/>
        <v>-12900</v>
      </c>
      <c r="BH13" s="76">
        <f t="shared" si="5"/>
        <v>-1</v>
      </c>
      <c r="BI13" s="76">
        <f t="shared" ref="BI13" si="20">BI14-BI12-BI11-BI10</f>
        <v>0</v>
      </c>
      <c r="BJ13" s="76">
        <f t="shared" si="5"/>
        <v>10</v>
      </c>
      <c r="BK13" s="76">
        <f t="shared" ref="BK13" si="21">BK14-BK12-BK11-BK10</f>
        <v>17</v>
      </c>
      <c r="BL13" s="67">
        <f t="shared" si="0"/>
        <v>11090.479999999947</v>
      </c>
      <c r="BM13" s="67">
        <f t="shared" si="1"/>
        <v>-36979.819999999898</v>
      </c>
    </row>
    <row r="14" spans="1:65" s="7" customFormat="1" x14ac:dyDescent="0.25">
      <c r="A14" s="3" t="s">
        <v>29</v>
      </c>
      <c r="B14" s="10">
        <v>22405</v>
      </c>
      <c r="C14" s="10">
        <v>42091</v>
      </c>
      <c r="D14" s="10">
        <v>39125</v>
      </c>
      <c r="E14" s="10">
        <v>77880</v>
      </c>
      <c r="F14" s="10">
        <v>267611</v>
      </c>
      <c r="G14" s="10">
        <v>341730</v>
      </c>
      <c r="H14" s="10">
        <v>204238</v>
      </c>
      <c r="I14" s="10">
        <v>384328</v>
      </c>
      <c r="J14" s="10">
        <v>55634.44</v>
      </c>
      <c r="K14" s="10">
        <v>126179.92</v>
      </c>
      <c r="L14" s="10">
        <v>98607</v>
      </c>
      <c r="M14" s="10">
        <v>192376</v>
      </c>
      <c r="N14" s="10">
        <v>98486</v>
      </c>
      <c r="O14" s="10">
        <v>173775</v>
      </c>
      <c r="P14" s="10">
        <v>36637.050000000003</v>
      </c>
      <c r="Q14" s="10">
        <v>71260.160000000003</v>
      </c>
      <c r="R14" s="10">
        <v>9206.25</v>
      </c>
      <c r="S14" s="10">
        <v>17782.21</v>
      </c>
      <c r="T14" s="10">
        <v>65200.68</v>
      </c>
      <c r="U14" s="10">
        <v>126419.06</v>
      </c>
      <c r="V14" s="10">
        <v>189025</v>
      </c>
      <c r="W14" s="10">
        <v>377988</v>
      </c>
      <c r="X14" s="10">
        <v>335103</v>
      </c>
      <c r="Y14" s="10">
        <v>712808</v>
      </c>
      <c r="Z14" s="10">
        <v>170713</v>
      </c>
      <c r="AA14" s="10">
        <v>315640</v>
      </c>
      <c r="AB14" s="10">
        <v>14870.73</v>
      </c>
      <c r="AC14" s="10">
        <v>28312.92</v>
      </c>
      <c r="AD14" s="10">
        <v>35332</v>
      </c>
      <c r="AE14" s="10">
        <v>68658</v>
      </c>
      <c r="AF14" s="10">
        <v>28514.639999999999</v>
      </c>
      <c r="AG14" s="10">
        <v>52115.35</v>
      </c>
      <c r="AH14" s="10">
        <v>28275.09</v>
      </c>
      <c r="AI14" s="10">
        <v>56366.91</v>
      </c>
      <c r="AJ14" s="10">
        <v>43204.58</v>
      </c>
      <c r="AK14" s="10">
        <v>92201.23</v>
      </c>
      <c r="AL14" s="10">
        <v>424003.1</v>
      </c>
      <c r="AM14" s="10">
        <v>825338.82</v>
      </c>
      <c r="AN14" s="10">
        <v>5838</v>
      </c>
      <c r="AO14" s="10">
        <v>8263</v>
      </c>
      <c r="AP14" s="10">
        <v>10610</v>
      </c>
      <c r="AQ14" s="10">
        <v>21876</v>
      </c>
      <c r="AR14" s="10">
        <v>152671</v>
      </c>
      <c r="AS14" s="10">
        <v>117267</v>
      </c>
      <c r="AT14" s="10">
        <f>653+756+63814</f>
        <v>65223</v>
      </c>
      <c r="AU14" s="10">
        <f>1197+1378+121767</f>
        <v>124342</v>
      </c>
      <c r="AV14" s="10">
        <v>118598</v>
      </c>
      <c r="AW14" s="10">
        <v>224565</v>
      </c>
      <c r="AX14" s="10">
        <v>47076</v>
      </c>
      <c r="AY14" s="10">
        <v>97597</v>
      </c>
      <c r="AZ14" s="10">
        <v>293264</v>
      </c>
      <c r="BA14" s="10">
        <v>559159</v>
      </c>
      <c r="BB14" s="10">
        <v>186143</v>
      </c>
      <c r="BC14" s="10">
        <v>347450</v>
      </c>
      <c r="BD14" s="10">
        <v>942408.71</v>
      </c>
      <c r="BE14" s="10">
        <v>1729924.61</v>
      </c>
      <c r="BF14" s="10">
        <v>458417</v>
      </c>
      <c r="BG14" s="10">
        <v>819674</v>
      </c>
      <c r="BH14" s="10">
        <v>422261</v>
      </c>
      <c r="BI14" s="10">
        <v>844281</v>
      </c>
      <c r="BJ14" s="10">
        <v>20819</v>
      </c>
      <c r="BK14" s="10">
        <v>50688</v>
      </c>
      <c r="BL14" s="63">
        <f t="shared" si="0"/>
        <v>4889520.2699999996</v>
      </c>
      <c r="BM14" s="63">
        <f t="shared" si="1"/>
        <v>9028337.1900000013</v>
      </c>
    </row>
    <row r="15" spans="1:65" s="7" customFormat="1" x14ac:dyDescent="0.25">
      <c r="A15" s="3" t="s">
        <v>30</v>
      </c>
      <c r="B15" s="10">
        <f>B9-B14</f>
        <v>-11036</v>
      </c>
      <c r="C15" s="10">
        <f t="shared" ref="C15:I15" si="22">C9-C14</f>
        <v>-23024</v>
      </c>
      <c r="D15" s="10">
        <f t="shared" si="22"/>
        <v>-10861</v>
      </c>
      <c r="E15" s="10">
        <f t="shared" si="22"/>
        <v>-24149</v>
      </c>
      <c r="F15" s="10">
        <f t="shared" si="22"/>
        <v>16516</v>
      </c>
      <c r="G15" s="10">
        <f t="shared" si="22"/>
        <v>26812</v>
      </c>
      <c r="H15" s="10">
        <f t="shared" si="22"/>
        <v>42681</v>
      </c>
      <c r="I15" s="10">
        <f t="shared" si="22"/>
        <v>81481</v>
      </c>
      <c r="J15" s="10">
        <f t="shared" ref="J15:BJ15" si="23">J9-J14</f>
        <v>9983.2099999999919</v>
      </c>
      <c r="K15" s="10">
        <f t="shared" si="23"/>
        <v>-10541.789999999994</v>
      </c>
      <c r="L15" s="10">
        <f t="shared" si="23"/>
        <v>11558</v>
      </c>
      <c r="M15" s="10">
        <f t="shared" si="23"/>
        <v>24347</v>
      </c>
      <c r="N15" s="10">
        <f t="shared" si="23"/>
        <v>-10026</v>
      </c>
      <c r="O15" s="10">
        <f t="shared" ref="O15" si="24">O9-O14</f>
        <v>-9412</v>
      </c>
      <c r="P15" s="10">
        <f t="shared" si="23"/>
        <v>1806.8099999999977</v>
      </c>
      <c r="Q15" s="10">
        <f t="shared" si="23"/>
        <v>-5598.9199999999983</v>
      </c>
      <c r="R15" s="10">
        <f t="shared" si="23"/>
        <v>-2690.41</v>
      </c>
      <c r="S15" s="10">
        <f t="shared" si="23"/>
        <v>-5841.16</v>
      </c>
      <c r="T15" s="10">
        <f t="shared" si="23"/>
        <v>3809.989999999998</v>
      </c>
      <c r="U15" s="10">
        <f t="shared" si="23"/>
        <v>3858.1900000000023</v>
      </c>
      <c r="V15" s="10">
        <f t="shared" si="23"/>
        <v>18088</v>
      </c>
      <c r="W15" s="10">
        <f t="shared" ref="W15" si="25">W9-W14</f>
        <v>10084</v>
      </c>
      <c r="X15" s="10">
        <f t="shared" si="23"/>
        <v>45714</v>
      </c>
      <c r="Y15" s="10">
        <f t="shared" ref="Y15" si="26">Y9-Y14</f>
        <v>51132</v>
      </c>
      <c r="Z15" s="10">
        <f t="shared" si="23"/>
        <v>-12799</v>
      </c>
      <c r="AA15" s="10">
        <f t="shared" ref="AA15" si="27">AA9-AA14</f>
        <v>-11697</v>
      </c>
      <c r="AB15" s="10">
        <f t="shared" si="23"/>
        <v>-2065.8199999999997</v>
      </c>
      <c r="AC15" s="10">
        <f t="shared" ref="AC15" si="28">AC9-AC14</f>
        <v>-2828.8199999999997</v>
      </c>
      <c r="AD15" s="10">
        <f t="shared" si="23"/>
        <v>608</v>
      </c>
      <c r="AE15" s="10">
        <f t="shared" ref="AE15" si="29">AE9-AE14</f>
        <v>1832</v>
      </c>
      <c r="AF15" s="10">
        <f t="shared" si="23"/>
        <v>-512.47999999999956</v>
      </c>
      <c r="AG15" s="10">
        <f t="shared" si="23"/>
        <v>829.45999999999913</v>
      </c>
      <c r="AH15" s="10">
        <f t="shared" si="23"/>
        <v>-7618.2999999999993</v>
      </c>
      <c r="AI15" s="10">
        <f t="shared" si="23"/>
        <v>-17925.410000000003</v>
      </c>
      <c r="AJ15" s="10">
        <f t="shared" si="23"/>
        <v>3979.8099999999977</v>
      </c>
      <c r="AK15" s="10">
        <f t="shared" ref="AK15" si="30">AK9-AK14</f>
        <v>-5632.6499999999942</v>
      </c>
      <c r="AL15" s="10">
        <f t="shared" si="23"/>
        <v>-710.96999999997206</v>
      </c>
      <c r="AM15" s="10">
        <f t="shared" ref="AM15" si="31">AM9-AM14</f>
        <v>-65605.259999999893</v>
      </c>
      <c r="AN15" s="10">
        <f t="shared" si="23"/>
        <v>-3113</v>
      </c>
      <c r="AO15" s="10">
        <f t="shared" ref="AO15" si="32">AO9-AO14</f>
        <v>-2491</v>
      </c>
      <c r="AP15" s="10">
        <f t="shared" si="23"/>
        <v>-1551</v>
      </c>
      <c r="AQ15" s="10">
        <f t="shared" ref="AQ15" si="33">AQ9-AQ14</f>
        <v>-3477</v>
      </c>
      <c r="AR15" s="10">
        <f t="shared" si="23"/>
        <v>15637</v>
      </c>
      <c r="AS15" s="10">
        <f t="shared" ref="AS15" si="34">AS9-AS14</f>
        <v>8693</v>
      </c>
      <c r="AT15" s="10">
        <f t="shared" si="23"/>
        <v>385</v>
      </c>
      <c r="AU15" s="10">
        <f t="shared" si="23"/>
        <v>6003</v>
      </c>
      <c r="AV15" s="10">
        <f t="shared" si="23"/>
        <v>-428</v>
      </c>
      <c r="AW15" s="10">
        <f t="shared" si="23"/>
        <v>3506</v>
      </c>
      <c r="AX15" s="10">
        <f t="shared" si="23"/>
        <v>15682</v>
      </c>
      <c r="AY15" s="10">
        <f t="shared" ref="AY15" si="35">AY9-AY14</f>
        <v>32486</v>
      </c>
      <c r="AZ15" s="10">
        <f t="shared" si="23"/>
        <v>-33460</v>
      </c>
      <c r="BA15" s="10">
        <f t="shared" si="23"/>
        <v>-66166</v>
      </c>
      <c r="BB15" s="10">
        <f t="shared" si="23"/>
        <v>3821</v>
      </c>
      <c r="BC15" s="10">
        <f t="shared" ref="BC15" si="36">BC9-BC14</f>
        <v>27422</v>
      </c>
      <c r="BD15" s="10">
        <f t="shared" si="23"/>
        <v>-44202.909999999916</v>
      </c>
      <c r="BE15" s="10">
        <f t="shared" si="23"/>
        <v>-62444.620000000112</v>
      </c>
      <c r="BF15" s="10">
        <f t="shared" ref="BF15:BG15" si="37">BF9-BF14</f>
        <v>237340</v>
      </c>
      <c r="BG15" s="10">
        <f t="shared" si="37"/>
        <v>-132706</v>
      </c>
      <c r="BH15" s="10">
        <f t="shared" si="23"/>
        <v>-38733</v>
      </c>
      <c r="BI15" s="10">
        <f t="shared" ref="BI15" si="38">BI9-BI14</f>
        <v>-103854</v>
      </c>
      <c r="BJ15" s="10">
        <f t="shared" si="23"/>
        <v>824</v>
      </c>
      <c r="BK15" s="10">
        <f t="shared" ref="BK15" si="39">BK9-BK14</f>
        <v>5421</v>
      </c>
      <c r="BL15" s="63">
        <f t="shared" si="0"/>
        <v>248625.93000000005</v>
      </c>
      <c r="BM15" s="63">
        <f t="shared" si="1"/>
        <v>-269487.98</v>
      </c>
    </row>
  </sheetData>
  <mergeCells count="32">
    <mergeCell ref="BD3:BE3"/>
    <mergeCell ref="BL3:BM3"/>
    <mergeCell ref="BJ3:BK3"/>
    <mergeCell ref="BH3:BI3"/>
    <mergeCell ref="BF3:BG3"/>
    <mergeCell ref="AN3:AO3"/>
    <mergeCell ref="AJ3:AK3"/>
    <mergeCell ref="AH3:AI3"/>
    <mergeCell ref="AF3:AG3"/>
    <mergeCell ref="AL3:AM3"/>
    <mergeCell ref="BB3:BC3"/>
    <mergeCell ref="AZ3:BA3"/>
    <mergeCell ref="AX3:AY3"/>
    <mergeCell ref="AV3:AW3"/>
    <mergeCell ref="AP3:AQ3"/>
    <mergeCell ref="AR3:AS3"/>
    <mergeCell ref="AT3:AU3"/>
    <mergeCell ref="H3:I3"/>
    <mergeCell ref="F3:G3"/>
    <mergeCell ref="D3:E3"/>
    <mergeCell ref="B3:C3"/>
    <mergeCell ref="AD3:AE3"/>
    <mergeCell ref="Z3:AA3"/>
    <mergeCell ref="X3:Y3"/>
    <mergeCell ref="V3:W3"/>
    <mergeCell ref="P3:Q3"/>
    <mergeCell ref="AB3:AC3"/>
    <mergeCell ref="L3:M3"/>
    <mergeCell ref="N3:O3"/>
    <mergeCell ref="J3:K3"/>
    <mergeCell ref="T3:U3"/>
    <mergeCell ref="R3:S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37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42.28515625" style="43" customWidth="1"/>
    <col min="2" max="94" width="14.28515625" style="43" customWidth="1"/>
    <col min="95" max="16384" width="9.140625" style="43"/>
  </cols>
  <sheetData>
    <row r="1" spans="1:94" ht="18.75" x14ac:dyDescent="0.3">
      <c r="A1" s="42" t="s">
        <v>248</v>
      </c>
    </row>
    <row r="2" spans="1:94" x14ac:dyDescent="0.25">
      <c r="A2" s="44" t="s">
        <v>98</v>
      </c>
    </row>
    <row r="3" spans="1:94" x14ac:dyDescent="0.25">
      <c r="A3" s="152" t="s">
        <v>0</v>
      </c>
      <c r="B3" s="153" t="s">
        <v>1</v>
      </c>
      <c r="C3" s="153"/>
      <c r="D3" s="153"/>
      <c r="E3" s="153" t="s">
        <v>233</v>
      </c>
      <c r="F3" s="153"/>
      <c r="G3" s="153"/>
      <c r="H3" s="153" t="s">
        <v>2</v>
      </c>
      <c r="I3" s="153"/>
      <c r="J3" s="153"/>
      <c r="K3" s="153" t="s">
        <v>3</v>
      </c>
      <c r="L3" s="153"/>
      <c r="M3" s="153"/>
      <c r="N3" s="153" t="s">
        <v>242</v>
      </c>
      <c r="O3" s="153"/>
      <c r="P3" s="153"/>
      <c r="Q3" s="154" t="s">
        <v>234</v>
      </c>
      <c r="R3" s="155"/>
      <c r="S3" s="156"/>
      <c r="T3" s="154" t="s">
        <v>5</v>
      </c>
      <c r="U3" s="155"/>
      <c r="V3" s="156"/>
      <c r="W3" s="154" t="s">
        <v>4</v>
      </c>
      <c r="X3" s="155"/>
      <c r="Y3" s="156"/>
      <c r="Z3" s="154" t="s">
        <v>6</v>
      </c>
      <c r="AA3" s="155"/>
      <c r="AB3" s="156"/>
      <c r="AC3" s="154" t="s">
        <v>254</v>
      </c>
      <c r="AD3" s="155"/>
      <c r="AE3" s="156"/>
      <c r="AF3" s="154" t="s">
        <v>7</v>
      </c>
      <c r="AG3" s="155"/>
      <c r="AH3" s="156"/>
      <c r="AI3" s="154" t="s">
        <v>8</v>
      </c>
      <c r="AJ3" s="155"/>
      <c r="AK3" s="156"/>
      <c r="AL3" s="154" t="s">
        <v>9</v>
      </c>
      <c r="AM3" s="155"/>
      <c r="AN3" s="156"/>
      <c r="AO3" s="154" t="s">
        <v>241</v>
      </c>
      <c r="AP3" s="155"/>
      <c r="AQ3" s="156"/>
      <c r="AR3" s="154" t="s">
        <v>10</v>
      </c>
      <c r="AS3" s="155"/>
      <c r="AT3" s="156"/>
      <c r="AU3" s="154" t="s">
        <v>11</v>
      </c>
      <c r="AV3" s="155"/>
      <c r="AW3" s="156"/>
      <c r="AX3" s="154" t="s">
        <v>235</v>
      </c>
      <c r="AY3" s="155"/>
      <c r="AZ3" s="156"/>
      <c r="BA3" s="154" t="s">
        <v>253</v>
      </c>
      <c r="BB3" s="155"/>
      <c r="BC3" s="156"/>
      <c r="BD3" s="154" t="s">
        <v>12</v>
      </c>
      <c r="BE3" s="155"/>
      <c r="BF3" s="156"/>
      <c r="BG3" s="154" t="s">
        <v>236</v>
      </c>
      <c r="BH3" s="155"/>
      <c r="BI3" s="156"/>
      <c r="BJ3" s="154" t="s">
        <v>237</v>
      </c>
      <c r="BK3" s="155"/>
      <c r="BL3" s="156"/>
      <c r="BM3" s="154" t="s">
        <v>240</v>
      </c>
      <c r="BN3" s="155"/>
      <c r="BO3" s="156"/>
      <c r="BP3" s="153" t="s">
        <v>13</v>
      </c>
      <c r="BQ3" s="153"/>
      <c r="BR3" s="153"/>
      <c r="BS3" s="153" t="s">
        <v>14</v>
      </c>
      <c r="BT3" s="153"/>
      <c r="BU3" s="153"/>
      <c r="BV3" s="153" t="s">
        <v>15</v>
      </c>
      <c r="BW3" s="153"/>
      <c r="BX3" s="153"/>
      <c r="BY3" s="153" t="s">
        <v>16</v>
      </c>
      <c r="BZ3" s="153"/>
      <c r="CA3" s="153"/>
      <c r="CB3" s="153" t="s">
        <v>17</v>
      </c>
      <c r="CC3" s="153"/>
      <c r="CD3" s="153"/>
      <c r="CE3" s="153" t="s">
        <v>238</v>
      </c>
      <c r="CF3" s="153"/>
      <c r="CG3" s="153"/>
      <c r="CH3" s="153" t="s">
        <v>239</v>
      </c>
      <c r="CI3" s="153"/>
      <c r="CJ3" s="153"/>
      <c r="CK3" s="153" t="s">
        <v>18</v>
      </c>
      <c r="CL3" s="153"/>
      <c r="CM3" s="153"/>
      <c r="CN3" s="153" t="s">
        <v>19</v>
      </c>
      <c r="CO3" s="153"/>
      <c r="CP3" s="153"/>
    </row>
    <row r="4" spans="1:94" x14ac:dyDescent="0.25">
      <c r="A4" s="152"/>
      <c r="B4" s="83" t="s">
        <v>152</v>
      </c>
      <c r="C4" s="83" t="s">
        <v>153</v>
      </c>
      <c r="D4" s="83" t="s">
        <v>139</v>
      </c>
      <c r="E4" s="83" t="s">
        <v>152</v>
      </c>
      <c r="F4" s="83" t="s">
        <v>153</v>
      </c>
      <c r="G4" s="83" t="s">
        <v>139</v>
      </c>
      <c r="H4" s="83" t="s">
        <v>152</v>
      </c>
      <c r="I4" s="83" t="s">
        <v>153</v>
      </c>
      <c r="J4" s="83" t="s">
        <v>139</v>
      </c>
      <c r="K4" s="83" t="s">
        <v>152</v>
      </c>
      <c r="L4" s="83" t="s">
        <v>153</v>
      </c>
      <c r="M4" s="83" t="s">
        <v>139</v>
      </c>
      <c r="N4" s="83" t="s">
        <v>152</v>
      </c>
      <c r="O4" s="83" t="s">
        <v>153</v>
      </c>
      <c r="P4" s="83" t="s">
        <v>139</v>
      </c>
      <c r="Q4" s="83" t="s">
        <v>152</v>
      </c>
      <c r="R4" s="83" t="s">
        <v>153</v>
      </c>
      <c r="S4" s="83" t="s">
        <v>139</v>
      </c>
      <c r="T4" s="83" t="s">
        <v>152</v>
      </c>
      <c r="U4" s="83" t="s">
        <v>153</v>
      </c>
      <c r="V4" s="83" t="s">
        <v>139</v>
      </c>
      <c r="W4" s="83" t="s">
        <v>152</v>
      </c>
      <c r="X4" s="83" t="s">
        <v>153</v>
      </c>
      <c r="Y4" s="83" t="s">
        <v>139</v>
      </c>
      <c r="Z4" s="83" t="s">
        <v>152</v>
      </c>
      <c r="AA4" s="83" t="s">
        <v>153</v>
      </c>
      <c r="AB4" s="83" t="s">
        <v>139</v>
      </c>
      <c r="AC4" s="83" t="s">
        <v>152</v>
      </c>
      <c r="AD4" s="83" t="s">
        <v>153</v>
      </c>
      <c r="AE4" s="83" t="s">
        <v>139</v>
      </c>
      <c r="AF4" s="83" t="s">
        <v>152</v>
      </c>
      <c r="AG4" s="83" t="s">
        <v>153</v>
      </c>
      <c r="AH4" s="83" t="s">
        <v>139</v>
      </c>
      <c r="AI4" s="83" t="s">
        <v>152</v>
      </c>
      <c r="AJ4" s="83" t="s">
        <v>153</v>
      </c>
      <c r="AK4" s="83" t="s">
        <v>139</v>
      </c>
      <c r="AL4" s="83" t="s">
        <v>152</v>
      </c>
      <c r="AM4" s="83" t="s">
        <v>153</v>
      </c>
      <c r="AN4" s="83" t="s">
        <v>139</v>
      </c>
      <c r="AO4" s="83" t="s">
        <v>152</v>
      </c>
      <c r="AP4" s="83" t="s">
        <v>153</v>
      </c>
      <c r="AQ4" s="83" t="s">
        <v>139</v>
      </c>
      <c r="AR4" s="83" t="s">
        <v>152</v>
      </c>
      <c r="AS4" s="83" t="s">
        <v>153</v>
      </c>
      <c r="AT4" s="83" t="s">
        <v>139</v>
      </c>
      <c r="AU4" s="83" t="s">
        <v>152</v>
      </c>
      <c r="AV4" s="83" t="s">
        <v>153</v>
      </c>
      <c r="AW4" s="83" t="s">
        <v>139</v>
      </c>
      <c r="AX4" s="83" t="s">
        <v>152</v>
      </c>
      <c r="AY4" s="83" t="s">
        <v>153</v>
      </c>
      <c r="AZ4" s="83" t="s">
        <v>139</v>
      </c>
      <c r="BA4" s="83" t="s">
        <v>152</v>
      </c>
      <c r="BB4" s="83" t="s">
        <v>153</v>
      </c>
      <c r="BC4" s="83" t="s">
        <v>139</v>
      </c>
      <c r="BD4" s="83" t="s">
        <v>152</v>
      </c>
      <c r="BE4" s="83" t="s">
        <v>153</v>
      </c>
      <c r="BF4" s="83" t="s">
        <v>139</v>
      </c>
      <c r="BG4" s="83" t="s">
        <v>152</v>
      </c>
      <c r="BH4" s="83" t="s">
        <v>153</v>
      </c>
      <c r="BI4" s="83" t="s">
        <v>139</v>
      </c>
      <c r="BJ4" s="83" t="s">
        <v>152</v>
      </c>
      <c r="BK4" s="83" t="s">
        <v>153</v>
      </c>
      <c r="BL4" s="83" t="s">
        <v>139</v>
      </c>
      <c r="BM4" s="83" t="s">
        <v>152</v>
      </c>
      <c r="BN4" s="83" t="s">
        <v>153</v>
      </c>
      <c r="BO4" s="83" t="s">
        <v>139</v>
      </c>
      <c r="BP4" s="83" t="s">
        <v>152</v>
      </c>
      <c r="BQ4" s="83" t="s">
        <v>153</v>
      </c>
      <c r="BR4" s="83" t="s">
        <v>139</v>
      </c>
      <c r="BS4" s="83" t="s">
        <v>152</v>
      </c>
      <c r="BT4" s="83" t="s">
        <v>153</v>
      </c>
      <c r="BU4" s="83" t="s">
        <v>139</v>
      </c>
      <c r="BV4" s="83" t="s">
        <v>152</v>
      </c>
      <c r="BW4" s="83" t="s">
        <v>153</v>
      </c>
      <c r="BX4" s="83" t="s">
        <v>139</v>
      </c>
      <c r="BY4" s="83" t="s">
        <v>152</v>
      </c>
      <c r="BZ4" s="83" t="s">
        <v>153</v>
      </c>
      <c r="CA4" s="83" t="s">
        <v>139</v>
      </c>
      <c r="CB4" s="83" t="s">
        <v>152</v>
      </c>
      <c r="CC4" s="83" t="s">
        <v>153</v>
      </c>
      <c r="CD4" s="83" t="s">
        <v>139</v>
      </c>
      <c r="CE4" s="83" t="s">
        <v>152</v>
      </c>
      <c r="CF4" s="83" t="s">
        <v>153</v>
      </c>
      <c r="CG4" s="83" t="s">
        <v>139</v>
      </c>
      <c r="CH4" s="83" t="s">
        <v>152</v>
      </c>
      <c r="CI4" s="83" t="s">
        <v>153</v>
      </c>
      <c r="CJ4" s="83" t="s">
        <v>139</v>
      </c>
      <c r="CK4" s="83" t="s">
        <v>152</v>
      </c>
      <c r="CL4" s="83" t="s">
        <v>153</v>
      </c>
      <c r="CM4" s="83" t="s">
        <v>139</v>
      </c>
      <c r="CN4" s="83" t="s">
        <v>152</v>
      </c>
      <c r="CO4" s="83" t="s">
        <v>153</v>
      </c>
      <c r="CP4" s="83" t="s">
        <v>139</v>
      </c>
    </row>
    <row r="5" spans="1:94" x14ac:dyDescent="0.25">
      <c r="A5" s="45" t="s">
        <v>154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</row>
    <row r="6" spans="1:94" ht="30" x14ac:dyDescent="0.25">
      <c r="A6" s="47" t="s">
        <v>155</v>
      </c>
      <c r="B6" s="46">
        <v>7865</v>
      </c>
      <c r="C6" s="46">
        <v>22621</v>
      </c>
      <c r="D6" s="46">
        <f t="shared" ref="D6:D19" si="0">B6+C6</f>
        <v>30486</v>
      </c>
      <c r="E6" s="46">
        <v>12675</v>
      </c>
      <c r="F6" s="46">
        <v>35904</v>
      </c>
      <c r="G6" s="46">
        <f>F6+E6</f>
        <v>48579</v>
      </c>
      <c r="H6" s="46">
        <v>68303</v>
      </c>
      <c r="I6" s="46">
        <v>243298</v>
      </c>
      <c r="J6" s="46">
        <f t="shared" ref="J6:J19" si="1">I6+H6</f>
        <v>311601</v>
      </c>
      <c r="K6" s="46">
        <v>144396</v>
      </c>
      <c r="L6" s="46">
        <v>994681</v>
      </c>
      <c r="M6" s="46">
        <f>L6+K6</f>
        <v>1139077</v>
      </c>
      <c r="N6" s="46">
        <v>23666.1</v>
      </c>
      <c r="O6" s="46">
        <v>46890.97</v>
      </c>
      <c r="P6" s="46">
        <f>O6+N6</f>
        <v>70557.070000000007</v>
      </c>
      <c r="Q6" s="46">
        <v>88521</v>
      </c>
      <c r="R6" s="46">
        <v>647458</v>
      </c>
      <c r="S6" s="46">
        <f>R6+Q6</f>
        <v>735979</v>
      </c>
      <c r="T6" s="46">
        <v>228762.94</v>
      </c>
      <c r="U6" s="46">
        <v>279599.15000000002</v>
      </c>
      <c r="V6" s="46">
        <f>U6+T6</f>
        <v>508362.09</v>
      </c>
      <c r="W6" s="46">
        <v>1472</v>
      </c>
      <c r="X6" s="46">
        <v>7425</v>
      </c>
      <c r="Y6" s="46">
        <f>X6+W6</f>
        <v>8897</v>
      </c>
      <c r="Z6" s="46">
        <v>57057.59</v>
      </c>
      <c r="AA6" s="46">
        <v>199235.52</v>
      </c>
      <c r="AB6" s="46">
        <f>AA6+Z6</f>
        <v>256293.11</v>
      </c>
      <c r="AC6" s="46">
        <v>45776</v>
      </c>
      <c r="AD6" s="46">
        <v>258866</v>
      </c>
      <c r="AE6" s="46">
        <f>AD6+AC6</f>
        <v>304642</v>
      </c>
      <c r="AF6" s="46">
        <v>98039</v>
      </c>
      <c r="AG6" s="46">
        <v>380487</v>
      </c>
      <c r="AH6" s="46">
        <f>AG6+AF6</f>
        <v>478526</v>
      </c>
      <c r="AI6" s="46">
        <v>338097</v>
      </c>
      <c r="AJ6" s="46">
        <v>1140893</v>
      </c>
      <c r="AK6" s="46">
        <f>AJ6+AI6</f>
        <v>1478990</v>
      </c>
      <c r="AL6" s="46">
        <v>86352</v>
      </c>
      <c r="AM6" s="46">
        <v>438367</v>
      </c>
      <c r="AN6" s="46">
        <f>AM6+AL6</f>
        <v>524719</v>
      </c>
      <c r="AO6" s="46">
        <v>20535</v>
      </c>
      <c r="AP6" s="46">
        <v>56207</v>
      </c>
      <c r="AQ6" s="46">
        <f>AO6+AP6</f>
        <v>76742</v>
      </c>
      <c r="AR6" s="46">
        <v>17541.04</v>
      </c>
      <c r="AS6" s="46">
        <v>44986.28</v>
      </c>
      <c r="AT6" s="46">
        <f>AS6+AR6</f>
        <v>62527.32</v>
      </c>
      <c r="AU6" s="46">
        <v>16696.93</v>
      </c>
      <c r="AV6" s="46">
        <v>115039.76</v>
      </c>
      <c r="AW6" s="46">
        <f>AV6+AU6</f>
        <v>131736.69</v>
      </c>
      <c r="AX6" s="46">
        <v>5819.68</v>
      </c>
      <c r="AY6" s="46">
        <v>10540.17</v>
      </c>
      <c r="AZ6" s="46">
        <f>AY6+AX6</f>
        <v>16359.85</v>
      </c>
      <c r="BA6" s="46">
        <v>19168.62</v>
      </c>
      <c r="BB6" s="46">
        <v>23128.959999999999</v>
      </c>
      <c r="BC6" s="46">
        <f>BB6+BA6</f>
        <v>42297.58</v>
      </c>
      <c r="BD6" s="46">
        <v>2696.3</v>
      </c>
      <c r="BE6" s="46">
        <v>1003907.03</v>
      </c>
      <c r="BF6" s="46">
        <f>BE6+BD6</f>
        <v>1006603.3300000001</v>
      </c>
      <c r="BG6" s="46">
        <v>5464</v>
      </c>
      <c r="BH6" s="46">
        <v>12810</v>
      </c>
      <c r="BI6" s="46">
        <f>BH6+BG6</f>
        <v>18274</v>
      </c>
      <c r="BJ6" s="46">
        <v>7541</v>
      </c>
      <c r="BK6" s="46">
        <v>20926</v>
      </c>
      <c r="BL6" s="46">
        <f t="shared" ref="BL6:BL19" si="2">BK6+BJ6</f>
        <v>28467</v>
      </c>
      <c r="BM6" s="46">
        <v>54283</v>
      </c>
      <c r="BN6" s="46">
        <v>296553</v>
      </c>
      <c r="BO6" s="46">
        <f>BN6+BM6</f>
        <v>350836</v>
      </c>
      <c r="BP6" s="46">
        <v>51986.44</v>
      </c>
      <c r="BQ6" s="46">
        <v>235983.05</v>
      </c>
      <c r="BR6" s="46">
        <f>BQ6+BP6</f>
        <v>287969.49</v>
      </c>
      <c r="BS6" s="46">
        <v>49126</v>
      </c>
      <c r="BT6" s="46">
        <v>183373</v>
      </c>
      <c r="BU6" s="46">
        <f>BT6+BS6</f>
        <v>232499</v>
      </c>
      <c r="BV6" s="46">
        <v>76712</v>
      </c>
      <c r="BW6" s="46">
        <v>287119</v>
      </c>
      <c r="BX6" s="46">
        <f t="shared" ref="BX6:BX19" si="3">BW6+BV6</f>
        <v>363831</v>
      </c>
      <c r="BY6" s="46">
        <v>120495</v>
      </c>
      <c r="BZ6" s="46">
        <v>203418</v>
      </c>
      <c r="CA6" s="46">
        <f>BZ6+BY6</f>
        <v>323913</v>
      </c>
      <c r="CB6" s="46">
        <v>131447</v>
      </c>
      <c r="CC6" s="46">
        <v>559673</v>
      </c>
      <c r="CD6" s="46">
        <f>CC6+CB6</f>
        <v>691120</v>
      </c>
      <c r="CE6" s="46">
        <v>931867.48</v>
      </c>
      <c r="CF6" s="46">
        <v>2059280.19</v>
      </c>
      <c r="CG6" s="46">
        <f>CF6+CE6</f>
        <v>2991147.67</v>
      </c>
      <c r="CH6" s="46">
        <v>56191</v>
      </c>
      <c r="CI6" s="46">
        <v>1129270</v>
      </c>
      <c r="CJ6" s="46">
        <f t="shared" ref="CJ6:CJ19" si="4">CI6+CH6</f>
        <v>1185461</v>
      </c>
      <c r="CK6" s="46">
        <v>153011</v>
      </c>
      <c r="CL6" s="46">
        <v>1452560</v>
      </c>
      <c r="CM6" s="46">
        <f>CL6+CK6</f>
        <v>1605571</v>
      </c>
      <c r="CN6" s="46">
        <v>30050</v>
      </c>
      <c r="CO6" s="46">
        <v>97724</v>
      </c>
      <c r="CP6" s="46">
        <f t="shared" ref="CP6:CP19" si="5">CO6+CN6</f>
        <v>127774</v>
      </c>
    </row>
    <row r="7" spans="1:94" ht="15" customHeight="1" x14ac:dyDescent="0.25">
      <c r="A7" s="47" t="s">
        <v>156</v>
      </c>
      <c r="B7" s="46"/>
      <c r="C7" s="46"/>
      <c r="D7" s="46">
        <f t="shared" si="0"/>
        <v>0</v>
      </c>
      <c r="E7" s="46">
        <v>15214</v>
      </c>
      <c r="F7" s="46">
        <v>31305</v>
      </c>
      <c r="G7" s="46">
        <f t="shared" ref="G7:G19" si="6">F7+E7</f>
        <v>46519</v>
      </c>
      <c r="H7" s="46">
        <v>142348</v>
      </c>
      <c r="I7" s="46">
        <v>507045</v>
      </c>
      <c r="J7" s="46">
        <f t="shared" si="1"/>
        <v>649393</v>
      </c>
      <c r="K7" s="46">
        <v>817</v>
      </c>
      <c r="L7" s="46">
        <v>494</v>
      </c>
      <c r="M7" s="46">
        <f t="shared" ref="M7:M19" si="7">L7+K7</f>
        <v>1311</v>
      </c>
      <c r="N7" s="46">
        <v>1681.61</v>
      </c>
      <c r="O7" s="46">
        <v>8554.85</v>
      </c>
      <c r="P7" s="46">
        <f t="shared" ref="P7:P19" si="8">O7+N7</f>
        <v>10236.460000000001</v>
      </c>
      <c r="Q7" s="46"/>
      <c r="R7" s="46"/>
      <c r="S7" s="46">
        <f t="shared" ref="S7:S19" si="9">R7+Q7</f>
        <v>0</v>
      </c>
      <c r="T7" s="46">
        <v>20985.31</v>
      </c>
      <c r="U7" s="46">
        <v>25648.71</v>
      </c>
      <c r="V7" s="46">
        <f t="shared" ref="V7:V19" si="10">U7+T7</f>
        <v>46634.020000000004</v>
      </c>
      <c r="W7" s="46">
        <v>1619</v>
      </c>
      <c r="X7" s="46">
        <v>2864</v>
      </c>
      <c r="Y7" s="46">
        <f t="shared" ref="Y7:Y19" si="11">X7+W7</f>
        <v>4483</v>
      </c>
      <c r="Z7" s="46"/>
      <c r="AA7" s="46"/>
      <c r="AB7" s="46">
        <f t="shared" ref="AB7:AB19" si="12">AA7+Z7</f>
        <v>0</v>
      </c>
      <c r="AC7" s="46"/>
      <c r="AD7" s="46">
        <v>24648</v>
      </c>
      <c r="AE7" s="46">
        <f t="shared" ref="AE7:AE19" si="13">AD7+AC7</f>
        <v>24648</v>
      </c>
      <c r="AF7" s="46">
        <v>51458</v>
      </c>
      <c r="AG7" s="46">
        <v>199706</v>
      </c>
      <c r="AH7" s="46">
        <f t="shared" ref="AH7:AH19" si="14">AG7+AF7</f>
        <v>251164</v>
      </c>
      <c r="AI7" s="46"/>
      <c r="AJ7" s="46"/>
      <c r="AK7" s="46">
        <f t="shared" ref="AK7:AK19" si="15">AJ7+AI7</f>
        <v>0</v>
      </c>
      <c r="AL7" s="46">
        <v>181</v>
      </c>
      <c r="AM7" s="46">
        <v>919</v>
      </c>
      <c r="AN7" s="46">
        <f t="shared" ref="AN7:AN19" si="16">AM7+AL7</f>
        <v>1100</v>
      </c>
      <c r="AO7" s="46"/>
      <c r="AP7" s="46"/>
      <c r="AQ7" s="46">
        <f t="shared" ref="AQ7:AQ18" si="17">AO7+AP7</f>
        <v>0</v>
      </c>
      <c r="AR7" s="46">
        <v>16056.62</v>
      </c>
      <c r="AS7" s="46">
        <v>41179.269999999997</v>
      </c>
      <c r="AT7" s="46">
        <f t="shared" ref="AT7:AT19" si="18">AS7+AR7</f>
        <v>57235.89</v>
      </c>
      <c r="AU7" s="46">
        <v>6346.28</v>
      </c>
      <c r="AV7" s="46">
        <v>43725.05</v>
      </c>
      <c r="AW7" s="46">
        <f t="shared" ref="AW7:AW19" si="19">AV7+AU7</f>
        <v>50071.33</v>
      </c>
      <c r="AX7" s="46">
        <v>5360.67</v>
      </c>
      <c r="AY7" s="46">
        <v>10431.549999999999</v>
      </c>
      <c r="AZ7" s="46">
        <f t="shared" ref="AZ7:AZ19" si="20">AY7+AX7</f>
        <v>15792.22</v>
      </c>
      <c r="BA7" s="46">
        <v>8508.33</v>
      </c>
      <c r="BB7" s="46">
        <v>5074.7700000000004</v>
      </c>
      <c r="BC7" s="46">
        <f t="shared" ref="BC7:BC19" si="21">BB7+BA7</f>
        <v>13583.1</v>
      </c>
      <c r="BD7" s="46">
        <v>7.46</v>
      </c>
      <c r="BE7" s="46">
        <v>2775.79</v>
      </c>
      <c r="BF7" s="46">
        <f t="shared" ref="BF7:BF19" si="22">BE7+BD7</f>
        <v>2783.25</v>
      </c>
      <c r="BG7" s="46"/>
      <c r="BH7" s="46">
        <v>1042</v>
      </c>
      <c r="BI7" s="46">
        <f t="shared" ref="BI7:BI19" si="23">BH7+BG7</f>
        <v>1042</v>
      </c>
      <c r="BJ7" s="46"/>
      <c r="BK7" s="46"/>
      <c r="BL7" s="46">
        <f t="shared" si="2"/>
        <v>0</v>
      </c>
      <c r="BM7" s="46">
        <v>44589</v>
      </c>
      <c r="BN7" s="46">
        <v>243591</v>
      </c>
      <c r="BO7" s="46">
        <f t="shared" ref="BO7:BO19" si="24">BN7+BM7</f>
        <v>288180</v>
      </c>
      <c r="BP7" s="46"/>
      <c r="BQ7" s="46"/>
      <c r="BR7" s="46">
        <f t="shared" ref="BR7:BR19" si="25">BQ7+BP7</f>
        <v>0</v>
      </c>
      <c r="BS7" s="46">
        <v>7625</v>
      </c>
      <c r="BT7" s="46">
        <v>82939</v>
      </c>
      <c r="BU7" s="46">
        <f t="shared" ref="BU7:BU19" si="26">BT7+BS7</f>
        <v>90564</v>
      </c>
      <c r="BV7" s="46">
        <v>1791</v>
      </c>
      <c r="BW7" s="46"/>
      <c r="BX7" s="46">
        <f t="shared" si="3"/>
        <v>1791</v>
      </c>
      <c r="BY7" s="46">
        <v>76262</v>
      </c>
      <c r="BZ7" s="46">
        <v>128745</v>
      </c>
      <c r="CA7" s="46">
        <f t="shared" ref="CA7:CA19" si="27">BZ7+BY7</f>
        <v>205007</v>
      </c>
      <c r="CB7" s="46"/>
      <c r="CC7" s="46"/>
      <c r="CD7" s="46">
        <f t="shared" ref="CD7:CD19" si="28">CC7+CB7</f>
        <v>0</v>
      </c>
      <c r="CE7" s="46"/>
      <c r="CF7" s="46"/>
      <c r="CG7" s="46">
        <f t="shared" ref="CG7:CG19" si="29">CF7+CE7</f>
        <v>0</v>
      </c>
      <c r="CH7" s="46">
        <v>313</v>
      </c>
      <c r="CI7" s="46">
        <v>6281</v>
      </c>
      <c r="CJ7" s="46">
        <f t="shared" si="4"/>
        <v>6594</v>
      </c>
      <c r="CK7" s="46"/>
      <c r="CL7" s="46"/>
      <c r="CM7" s="46">
        <f t="shared" ref="CM7:CM19" si="30">CL7+CK7</f>
        <v>0</v>
      </c>
      <c r="CN7" s="46">
        <v>321</v>
      </c>
      <c r="CO7" s="46">
        <v>1044</v>
      </c>
      <c r="CP7" s="46">
        <f t="shared" si="5"/>
        <v>1365</v>
      </c>
    </row>
    <row r="8" spans="1:94" ht="15" customHeight="1" x14ac:dyDescent="0.25">
      <c r="A8" s="47" t="s">
        <v>157</v>
      </c>
      <c r="B8" s="46"/>
      <c r="C8" s="46"/>
      <c r="D8" s="46">
        <f t="shared" si="0"/>
        <v>0</v>
      </c>
      <c r="E8" s="46"/>
      <c r="F8" s="46"/>
      <c r="G8" s="46">
        <f t="shared" si="6"/>
        <v>0</v>
      </c>
      <c r="H8" s="46"/>
      <c r="I8" s="46"/>
      <c r="J8" s="46">
        <f t="shared" si="1"/>
        <v>0</v>
      </c>
      <c r="K8" s="46"/>
      <c r="L8" s="46"/>
      <c r="M8" s="46">
        <f t="shared" si="7"/>
        <v>0</v>
      </c>
      <c r="N8" s="46"/>
      <c r="O8" s="46"/>
      <c r="P8" s="46">
        <f t="shared" si="8"/>
        <v>0</v>
      </c>
      <c r="Q8" s="46"/>
      <c r="R8" s="46"/>
      <c r="S8" s="46">
        <f t="shared" si="9"/>
        <v>0</v>
      </c>
      <c r="T8" s="46"/>
      <c r="U8" s="46"/>
      <c r="V8" s="46">
        <f t="shared" si="10"/>
        <v>0</v>
      </c>
      <c r="W8" s="46"/>
      <c r="X8" s="46"/>
      <c r="Y8" s="46">
        <f t="shared" si="11"/>
        <v>0</v>
      </c>
      <c r="Z8" s="46"/>
      <c r="AA8" s="46"/>
      <c r="AB8" s="46">
        <f t="shared" si="12"/>
        <v>0</v>
      </c>
      <c r="AC8" s="46"/>
      <c r="AD8" s="46"/>
      <c r="AE8" s="46">
        <f t="shared" si="13"/>
        <v>0</v>
      </c>
      <c r="AF8" s="46"/>
      <c r="AG8" s="46"/>
      <c r="AH8" s="46">
        <f t="shared" si="14"/>
        <v>0</v>
      </c>
      <c r="AI8" s="46"/>
      <c r="AJ8" s="46"/>
      <c r="AK8" s="46">
        <f t="shared" si="15"/>
        <v>0</v>
      </c>
      <c r="AL8" s="46"/>
      <c r="AM8" s="46"/>
      <c r="AN8" s="46">
        <f t="shared" si="16"/>
        <v>0</v>
      </c>
      <c r="AO8" s="46"/>
      <c r="AP8" s="46"/>
      <c r="AQ8" s="46">
        <f t="shared" si="17"/>
        <v>0</v>
      </c>
      <c r="AR8" s="46"/>
      <c r="AS8" s="46"/>
      <c r="AT8" s="46">
        <f t="shared" si="18"/>
        <v>0</v>
      </c>
      <c r="AU8" s="46"/>
      <c r="AV8" s="46"/>
      <c r="AW8" s="46">
        <f t="shared" si="19"/>
        <v>0</v>
      </c>
      <c r="AX8" s="46"/>
      <c r="AY8" s="46"/>
      <c r="AZ8" s="46">
        <f t="shared" si="20"/>
        <v>0</v>
      </c>
      <c r="BA8" s="46"/>
      <c r="BB8" s="46"/>
      <c r="BC8" s="46">
        <f t="shared" si="21"/>
        <v>0</v>
      </c>
      <c r="BD8" s="46"/>
      <c r="BE8" s="46"/>
      <c r="BF8" s="46">
        <f t="shared" si="22"/>
        <v>0</v>
      </c>
      <c r="BG8" s="46"/>
      <c r="BH8" s="46"/>
      <c r="BI8" s="46">
        <f t="shared" si="23"/>
        <v>0</v>
      </c>
      <c r="BJ8" s="46"/>
      <c r="BK8" s="46"/>
      <c r="BL8" s="46">
        <f t="shared" si="2"/>
        <v>0</v>
      </c>
      <c r="BM8" s="46"/>
      <c r="BN8" s="46"/>
      <c r="BO8" s="46">
        <f t="shared" si="24"/>
        <v>0</v>
      </c>
      <c r="BP8" s="46"/>
      <c r="BQ8" s="46"/>
      <c r="BR8" s="46">
        <f t="shared" si="25"/>
        <v>0</v>
      </c>
      <c r="BS8" s="46"/>
      <c r="BT8" s="46"/>
      <c r="BU8" s="46">
        <f t="shared" si="26"/>
        <v>0</v>
      </c>
      <c r="BV8" s="46"/>
      <c r="BW8" s="46"/>
      <c r="BX8" s="46">
        <f t="shared" si="3"/>
        <v>0</v>
      </c>
      <c r="BY8" s="46"/>
      <c r="BZ8" s="46"/>
      <c r="CA8" s="46">
        <f t="shared" si="27"/>
        <v>0</v>
      </c>
      <c r="CB8" s="46"/>
      <c r="CC8" s="46"/>
      <c r="CD8" s="46">
        <f t="shared" si="28"/>
        <v>0</v>
      </c>
      <c r="CE8" s="46"/>
      <c r="CF8" s="46"/>
      <c r="CG8" s="46">
        <f t="shared" si="29"/>
        <v>0</v>
      </c>
      <c r="CH8" s="46"/>
      <c r="CI8" s="46"/>
      <c r="CJ8" s="46">
        <f t="shared" si="4"/>
        <v>0</v>
      </c>
      <c r="CK8" s="46"/>
      <c r="CL8" s="46"/>
      <c r="CM8" s="46">
        <f t="shared" si="30"/>
        <v>0</v>
      </c>
      <c r="CN8" s="46"/>
      <c r="CO8" s="46"/>
      <c r="CP8" s="46">
        <f t="shared" si="5"/>
        <v>0</v>
      </c>
    </row>
    <row r="9" spans="1:94" ht="15" customHeight="1" x14ac:dyDescent="0.25">
      <c r="A9" s="47" t="s">
        <v>158</v>
      </c>
      <c r="B9" s="46"/>
      <c r="C9" s="46"/>
      <c r="D9" s="46">
        <f t="shared" si="0"/>
        <v>0</v>
      </c>
      <c r="E9" s="46"/>
      <c r="F9" s="46"/>
      <c r="G9" s="46">
        <f t="shared" si="6"/>
        <v>0</v>
      </c>
      <c r="H9" s="46"/>
      <c r="I9" s="46"/>
      <c r="J9" s="46">
        <f t="shared" si="1"/>
        <v>0</v>
      </c>
      <c r="K9" s="46"/>
      <c r="L9" s="46"/>
      <c r="M9" s="46">
        <f t="shared" si="7"/>
        <v>0</v>
      </c>
      <c r="N9" s="46"/>
      <c r="O9" s="46"/>
      <c r="P9" s="46">
        <f t="shared" si="8"/>
        <v>0</v>
      </c>
      <c r="Q9" s="46"/>
      <c r="R9" s="46"/>
      <c r="S9" s="46">
        <f t="shared" si="9"/>
        <v>0</v>
      </c>
      <c r="T9" s="46"/>
      <c r="U9" s="46"/>
      <c r="V9" s="46">
        <f t="shared" si="10"/>
        <v>0</v>
      </c>
      <c r="W9" s="46"/>
      <c r="X9" s="46"/>
      <c r="Y9" s="46">
        <f t="shared" si="11"/>
        <v>0</v>
      </c>
      <c r="Z9" s="46"/>
      <c r="AA9" s="46"/>
      <c r="AB9" s="46">
        <f t="shared" si="12"/>
        <v>0</v>
      </c>
      <c r="AC9" s="46"/>
      <c r="AD9" s="46"/>
      <c r="AE9" s="46">
        <f t="shared" si="13"/>
        <v>0</v>
      </c>
      <c r="AF9" s="46"/>
      <c r="AG9" s="46"/>
      <c r="AH9" s="46">
        <f t="shared" si="14"/>
        <v>0</v>
      </c>
      <c r="AI9" s="46"/>
      <c r="AJ9" s="46"/>
      <c r="AK9" s="46">
        <f t="shared" si="15"/>
        <v>0</v>
      </c>
      <c r="AL9" s="46"/>
      <c r="AM9" s="46"/>
      <c r="AN9" s="46">
        <f t="shared" si="16"/>
        <v>0</v>
      </c>
      <c r="AO9" s="46"/>
      <c r="AP9" s="46"/>
      <c r="AQ9" s="46">
        <f t="shared" si="17"/>
        <v>0</v>
      </c>
      <c r="AR9" s="46"/>
      <c r="AS9" s="46"/>
      <c r="AT9" s="46">
        <f t="shared" si="18"/>
        <v>0</v>
      </c>
      <c r="AU9" s="46"/>
      <c r="AV9" s="46"/>
      <c r="AW9" s="46">
        <f t="shared" si="19"/>
        <v>0</v>
      </c>
      <c r="AX9" s="46"/>
      <c r="AY9" s="46"/>
      <c r="AZ9" s="46">
        <f t="shared" si="20"/>
        <v>0</v>
      </c>
      <c r="BA9" s="46"/>
      <c r="BB9" s="46"/>
      <c r="BC9" s="46">
        <f t="shared" si="21"/>
        <v>0</v>
      </c>
      <c r="BD9" s="46"/>
      <c r="BE9" s="46"/>
      <c r="BF9" s="46">
        <f t="shared" si="22"/>
        <v>0</v>
      </c>
      <c r="BG9" s="46"/>
      <c r="BH9" s="46"/>
      <c r="BI9" s="46">
        <f t="shared" si="23"/>
        <v>0</v>
      </c>
      <c r="BJ9" s="46"/>
      <c r="BK9" s="46"/>
      <c r="BL9" s="46">
        <f t="shared" si="2"/>
        <v>0</v>
      </c>
      <c r="BM9" s="46"/>
      <c r="BN9" s="46"/>
      <c r="BO9" s="46">
        <f t="shared" si="24"/>
        <v>0</v>
      </c>
      <c r="BP9" s="46"/>
      <c r="BQ9" s="46"/>
      <c r="BR9" s="46">
        <f t="shared" si="25"/>
        <v>0</v>
      </c>
      <c r="BS9" s="46"/>
      <c r="BT9" s="46"/>
      <c r="BU9" s="46">
        <f t="shared" si="26"/>
        <v>0</v>
      </c>
      <c r="BV9" s="46"/>
      <c r="BW9" s="46"/>
      <c r="BX9" s="46">
        <f t="shared" si="3"/>
        <v>0</v>
      </c>
      <c r="BY9" s="46"/>
      <c r="BZ9" s="46"/>
      <c r="CA9" s="46">
        <f t="shared" si="27"/>
        <v>0</v>
      </c>
      <c r="CB9" s="46"/>
      <c r="CC9" s="46"/>
      <c r="CD9" s="46">
        <f t="shared" si="28"/>
        <v>0</v>
      </c>
      <c r="CE9" s="46"/>
      <c r="CF9" s="46"/>
      <c r="CG9" s="46">
        <f t="shared" si="29"/>
        <v>0</v>
      </c>
      <c r="CH9" s="46"/>
      <c r="CI9" s="46"/>
      <c r="CJ9" s="46">
        <f t="shared" si="4"/>
        <v>0</v>
      </c>
      <c r="CK9" s="46"/>
      <c r="CL9" s="46"/>
      <c r="CM9" s="46">
        <f t="shared" si="30"/>
        <v>0</v>
      </c>
      <c r="CN9" s="46"/>
      <c r="CO9" s="46"/>
      <c r="CP9" s="46">
        <f t="shared" si="5"/>
        <v>0</v>
      </c>
    </row>
    <row r="10" spans="1:94" ht="15" customHeight="1" x14ac:dyDescent="0.25">
      <c r="A10" s="47" t="s">
        <v>159</v>
      </c>
      <c r="B10" s="46"/>
      <c r="C10" s="46"/>
      <c r="D10" s="46">
        <f t="shared" si="0"/>
        <v>0</v>
      </c>
      <c r="E10" s="46"/>
      <c r="F10" s="46"/>
      <c r="G10" s="46">
        <f t="shared" si="6"/>
        <v>0</v>
      </c>
      <c r="H10" s="46">
        <v>4509</v>
      </c>
      <c r="I10" s="46">
        <v>16061</v>
      </c>
      <c r="J10" s="46">
        <f t="shared" si="1"/>
        <v>20570</v>
      </c>
      <c r="K10" s="46">
        <v>56303</v>
      </c>
      <c r="L10" s="46">
        <v>131493</v>
      </c>
      <c r="M10" s="46">
        <f t="shared" si="7"/>
        <v>187796</v>
      </c>
      <c r="N10" s="46"/>
      <c r="O10" s="46"/>
      <c r="P10" s="46">
        <f t="shared" si="8"/>
        <v>0</v>
      </c>
      <c r="Q10" s="46">
        <v>1546</v>
      </c>
      <c r="R10" s="46">
        <v>11310</v>
      </c>
      <c r="S10" s="46">
        <f t="shared" si="9"/>
        <v>12856</v>
      </c>
      <c r="T10" s="46">
        <v>82349.3</v>
      </c>
      <c r="U10" s="46">
        <v>100649.14</v>
      </c>
      <c r="V10" s="46">
        <f t="shared" si="10"/>
        <v>182998.44</v>
      </c>
      <c r="W10" s="46"/>
      <c r="X10" s="46"/>
      <c r="Y10" s="46">
        <f t="shared" si="11"/>
        <v>0</v>
      </c>
      <c r="Z10" s="46">
        <v>2.52</v>
      </c>
      <c r="AA10" s="46">
        <v>8.7899999999999991</v>
      </c>
      <c r="AB10" s="46">
        <f t="shared" si="12"/>
        <v>11.309999999999999</v>
      </c>
      <c r="AC10" s="46">
        <v>17465</v>
      </c>
      <c r="AD10" s="46"/>
      <c r="AE10" s="46">
        <f t="shared" si="13"/>
        <v>17465</v>
      </c>
      <c r="AF10" s="46">
        <v>12290</v>
      </c>
      <c r="AG10" s="46">
        <v>47695</v>
      </c>
      <c r="AH10" s="46">
        <f t="shared" si="14"/>
        <v>59985</v>
      </c>
      <c r="AI10" s="46">
        <v>93789</v>
      </c>
      <c r="AJ10" s="46">
        <v>310898</v>
      </c>
      <c r="AK10" s="46">
        <f t="shared" si="15"/>
        <v>404687</v>
      </c>
      <c r="AL10" s="46">
        <v>118</v>
      </c>
      <c r="AM10" s="46">
        <v>597</v>
      </c>
      <c r="AN10" s="46">
        <f t="shared" si="16"/>
        <v>715</v>
      </c>
      <c r="AO10" s="46"/>
      <c r="AP10" s="46"/>
      <c r="AQ10" s="46">
        <f t="shared" si="17"/>
        <v>0</v>
      </c>
      <c r="AR10" s="46"/>
      <c r="AS10" s="46"/>
      <c r="AT10" s="46">
        <f t="shared" si="18"/>
        <v>0</v>
      </c>
      <c r="AU10" s="46"/>
      <c r="AV10" s="46"/>
      <c r="AW10" s="46">
        <f t="shared" si="19"/>
        <v>0</v>
      </c>
      <c r="AX10" s="46"/>
      <c r="AY10" s="46"/>
      <c r="AZ10" s="46">
        <f t="shared" si="20"/>
        <v>0</v>
      </c>
      <c r="BA10" s="46"/>
      <c r="BB10" s="46"/>
      <c r="BC10" s="46">
        <f t="shared" si="21"/>
        <v>0</v>
      </c>
      <c r="BD10" s="46">
        <v>2934.25</v>
      </c>
      <c r="BE10" s="46">
        <v>1092500.5</v>
      </c>
      <c r="BF10" s="46">
        <f t="shared" si="22"/>
        <v>1095434.75</v>
      </c>
      <c r="BG10" s="46"/>
      <c r="BH10" s="46"/>
      <c r="BI10" s="46">
        <f t="shared" si="23"/>
        <v>0</v>
      </c>
      <c r="BJ10" s="46"/>
      <c r="BK10" s="46"/>
      <c r="BL10" s="46">
        <f t="shared" si="2"/>
        <v>0</v>
      </c>
      <c r="BM10" s="46"/>
      <c r="BN10" s="46"/>
      <c r="BO10" s="46">
        <f t="shared" si="24"/>
        <v>0</v>
      </c>
      <c r="BP10" s="46"/>
      <c r="BQ10" s="46"/>
      <c r="BR10" s="46">
        <f t="shared" si="25"/>
        <v>0</v>
      </c>
      <c r="BS10" s="46">
        <v>61965</v>
      </c>
      <c r="BT10" s="46"/>
      <c r="BU10" s="46">
        <f t="shared" si="26"/>
        <v>61965</v>
      </c>
      <c r="BV10" s="46">
        <v>15423</v>
      </c>
      <c r="BW10" s="46"/>
      <c r="BX10" s="46">
        <f t="shared" si="3"/>
        <v>15423</v>
      </c>
      <c r="BY10" s="46"/>
      <c r="BZ10" s="46"/>
      <c r="CA10" s="46">
        <f t="shared" si="27"/>
        <v>0</v>
      </c>
      <c r="CB10" s="46">
        <v>30781</v>
      </c>
      <c r="CC10" s="46">
        <v>131058</v>
      </c>
      <c r="CD10" s="46">
        <f t="shared" si="28"/>
        <v>161839</v>
      </c>
      <c r="CE10" s="46">
        <v>749850.05</v>
      </c>
      <c r="CF10" s="46">
        <v>1805981.71</v>
      </c>
      <c r="CG10" s="46">
        <f t="shared" si="29"/>
        <v>2555831.7599999998</v>
      </c>
      <c r="CH10" s="46">
        <v>30143</v>
      </c>
      <c r="CI10" s="46">
        <v>605794</v>
      </c>
      <c r="CJ10" s="46">
        <f t="shared" si="4"/>
        <v>635937</v>
      </c>
      <c r="CK10" s="46">
        <v>82646</v>
      </c>
      <c r="CL10" s="46">
        <v>784573</v>
      </c>
      <c r="CM10" s="46">
        <f t="shared" si="30"/>
        <v>867219</v>
      </c>
      <c r="CN10" s="46"/>
      <c r="CO10" s="46"/>
      <c r="CP10" s="46">
        <f t="shared" si="5"/>
        <v>0</v>
      </c>
    </row>
    <row r="11" spans="1:94" ht="15" customHeight="1" x14ac:dyDescent="0.25">
      <c r="A11" s="47" t="s">
        <v>160</v>
      </c>
      <c r="B11" s="46"/>
      <c r="C11" s="46"/>
      <c r="D11" s="46">
        <f t="shared" si="0"/>
        <v>0</v>
      </c>
      <c r="E11" s="46"/>
      <c r="F11" s="46"/>
      <c r="G11" s="46">
        <f t="shared" si="6"/>
        <v>0</v>
      </c>
      <c r="H11" s="46"/>
      <c r="I11" s="46"/>
      <c r="J11" s="46">
        <f t="shared" si="1"/>
        <v>0</v>
      </c>
      <c r="K11" s="46"/>
      <c r="L11" s="46">
        <v>3298</v>
      </c>
      <c r="M11" s="46">
        <f t="shared" si="7"/>
        <v>3298</v>
      </c>
      <c r="N11" s="46"/>
      <c r="O11" s="46"/>
      <c r="P11" s="46">
        <f t="shared" si="8"/>
        <v>0</v>
      </c>
      <c r="Q11" s="46"/>
      <c r="R11" s="46"/>
      <c r="S11" s="46">
        <f t="shared" si="9"/>
        <v>0</v>
      </c>
      <c r="T11" s="46"/>
      <c r="U11" s="46"/>
      <c r="V11" s="46">
        <f t="shared" si="10"/>
        <v>0</v>
      </c>
      <c r="W11" s="46"/>
      <c r="X11" s="46"/>
      <c r="Y11" s="46">
        <f t="shared" si="11"/>
        <v>0</v>
      </c>
      <c r="Z11" s="46"/>
      <c r="AA11" s="46"/>
      <c r="AB11" s="46">
        <f t="shared" si="12"/>
        <v>0</v>
      </c>
      <c r="AC11" s="46"/>
      <c r="AD11" s="46"/>
      <c r="AE11" s="46">
        <f t="shared" si="13"/>
        <v>0</v>
      </c>
      <c r="AF11" s="46"/>
      <c r="AG11" s="46"/>
      <c r="AH11" s="46">
        <f t="shared" si="14"/>
        <v>0</v>
      </c>
      <c r="AI11" s="46">
        <v>765</v>
      </c>
      <c r="AJ11" s="46">
        <v>2535</v>
      </c>
      <c r="AK11" s="46">
        <f t="shared" si="15"/>
        <v>3300</v>
      </c>
      <c r="AL11" s="46"/>
      <c r="AM11" s="46"/>
      <c r="AN11" s="46">
        <f t="shared" si="16"/>
        <v>0</v>
      </c>
      <c r="AO11" s="46"/>
      <c r="AP11" s="46"/>
      <c r="AQ11" s="46">
        <f t="shared" si="17"/>
        <v>0</v>
      </c>
      <c r="AR11" s="46"/>
      <c r="AS11" s="46"/>
      <c r="AT11" s="46">
        <f t="shared" si="18"/>
        <v>0</v>
      </c>
      <c r="AU11" s="46"/>
      <c r="AV11" s="46"/>
      <c r="AW11" s="46">
        <f t="shared" si="19"/>
        <v>0</v>
      </c>
      <c r="AX11" s="46"/>
      <c r="AY11" s="46"/>
      <c r="AZ11" s="46">
        <f t="shared" si="20"/>
        <v>0</v>
      </c>
      <c r="BA11" s="46"/>
      <c r="BB11" s="46"/>
      <c r="BC11" s="46">
        <f t="shared" si="21"/>
        <v>0</v>
      </c>
      <c r="BD11" s="46">
        <v>7.0000000000000007E-2</v>
      </c>
      <c r="BE11" s="46">
        <v>25.58</v>
      </c>
      <c r="BF11" s="46">
        <f t="shared" si="22"/>
        <v>25.65</v>
      </c>
      <c r="BG11" s="46"/>
      <c r="BH11" s="46"/>
      <c r="BI11" s="46">
        <f t="shared" si="23"/>
        <v>0</v>
      </c>
      <c r="BJ11" s="46"/>
      <c r="BK11" s="46"/>
      <c r="BL11" s="46">
        <f t="shared" si="2"/>
        <v>0</v>
      </c>
      <c r="BM11" s="46"/>
      <c r="BN11" s="46"/>
      <c r="BO11" s="46">
        <f t="shared" si="24"/>
        <v>0</v>
      </c>
      <c r="BP11" s="46"/>
      <c r="BQ11" s="46"/>
      <c r="BR11" s="46">
        <f t="shared" si="25"/>
        <v>0</v>
      </c>
      <c r="BS11" s="46"/>
      <c r="BT11" s="46"/>
      <c r="BU11" s="46">
        <f t="shared" si="26"/>
        <v>0</v>
      </c>
      <c r="BV11" s="46"/>
      <c r="BW11" s="46"/>
      <c r="BX11" s="46">
        <f t="shared" si="3"/>
        <v>0</v>
      </c>
      <c r="BY11" s="46"/>
      <c r="BZ11" s="46"/>
      <c r="CA11" s="46">
        <f t="shared" si="27"/>
        <v>0</v>
      </c>
      <c r="CB11" s="46"/>
      <c r="CC11" s="46"/>
      <c r="CD11" s="46">
        <f t="shared" si="28"/>
        <v>0</v>
      </c>
      <c r="CE11" s="46"/>
      <c r="CF11" s="46"/>
      <c r="CG11" s="46">
        <f t="shared" si="29"/>
        <v>0</v>
      </c>
      <c r="CH11" s="46"/>
      <c r="CI11" s="46"/>
      <c r="CJ11" s="46">
        <f t="shared" si="4"/>
        <v>0</v>
      </c>
      <c r="CK11" s="46"/>
      <c r="CL11" s="46"/>
      <c r="CM11" s="46">
        <f t="shared" si="30"/>
        <v>0</v>
      </c>
      <c r="CN11" s="46"/>
      <c r="CO11" s="46"/>
      <c r="CP11" s="46">
        <f t="shared" si="5"/>
        <v>0</v>
      </c>
    </row>
    <row r="12" spans="1:94" ht="15" customHeight="1" x14ac:dyDescent="0.25">
      <c r="A12" s="47" t="s">
        <v>161</v>
      </c>
      <c r="B12" s="46"/>
      <c r="C12" s="46"/>
      <c r="D12" s="46">
        <f t="shared" si="0"/>
        <v>0</v>
      </c>
      <c r="E12" s="46"/>
      <c r="F12" s="46"/>
      <c r="G12" s="46">
        <f t="shared" si="6"/>
        <v>0</v>
      </c>
      <c r="H12" s="46"/>
      <c r="I12" s="46"/>
      <c r="J12" s="46">
        <f t="shared" si="1"/>
        <v>0</v>
      </c>
      <c r="K12" s="46"/>
      <c r="L12" s="46"/>
      <c r="M12" s="46">
        <f t="shared" si="7"/>
        <v>0</v>
      </c>
      <c r="N12" s="46"/>
      <c r="O12" s="46"/>
      <c r="P12" s="46">
        <f t="shared" si="8"/>
        <v>0</v>
      </c>
      <c r="Q12" s="46"/>
      <c r="R12" s="46"/>
      <c r="S12" s="46">
        <f t="shared" si="9"/>
        <v>0</v>
      </c>
      <c r="T12" s="46"/>
      <c r="U12" s="46"/>
      <c r="V12" s="46">
        <f t="shared" si="10"/>
        <v>0</v>
      </c>
      <c r="W12" s="46"/>
      <c r="X12" s="46"/>
      <c r="Y12" s="46">
        <f t="shared" si="11"/>
        <v>0</v>
      </c>
      <c r="Z12" s="46"/>
      <c r="AA12" s="46"/>
      <c r="AB12" s="46">
        <f t="shared" si="12"/>
        <v>0</v>
      </c>
      <c r="AC12" s="46"/>
      <c r="AD12" s="46"/>
      <c r="AE12" s="46">
        <f t="shared" si="13"/>
        <v>0</v>
      </c>
      <c r="AF12" s="46">
        <v>217</v>
      </c>
      <c r="AG12" s="46">
        <v>842</v>
      </c>
      <c r="AH12" s="46">
        <f t="shared" si="14"/>
        <v>1059</v>
      </c>
      <c r="AI12" s="46"/>
      <c r="AJ12" s="46"/>
      <c r="AK12" s="46">
        <f t="shared" si="15"/>
        <v>0</v>
      </c>
      <c r="AL12" s="46">
        <v>47</v>
      </c>
      <c r="AM12" s="46">
        <v>237</v>
      </c>
      <c r="AN12" s="46">
        <f t="shared" si="16"/>
        <v>284</v>
      </c>
      <c r="AO12" s="46"/>
      <c r="AP12" s="46"/>
      <c r="AQ12" s="46">
        <f t="shared" si="17"/>
        <v>0</v>
      </c>
      <c r="AR12" s="46"/>
      <c r="AS12" s="46"/>
      <c r="AT12" s="46">
        <f t="shared" si="18"/>
        <v>0</v>
      </c>
      <c r="AU12" s="46"/>
      <c r="AV12" s="46"/>
      <c r="AW12" s="46">
        <f t="shared" si="19"/>
        <v>0</v>
      </c>
      <c r="AX12" s="46"/>
      <c r="AY12" s="46"/>
      <c r="AZ12" s="46">
        <f t="shared" si="20"/>
        <v>0</v>
      </c>
      <c r="BA12" s="46"/>
      <c r="BB12" s="46"/>
      <c r="BC12" s="46">
        <f t="shared" si="21"/>
        <v>0</v>
      </c>
      <c r="BD12" s="46">
        <v>13.42</v>
      </c>
      <c r="BE12" s="46">
        <v>4997.26</v>
      </c>
      <c r="BF12" s="46">
        <f t="shared" si="22"/>
        <v>5010.68</v>
      </c>
      <c r="BG12" s="46"/>
      <c r="BH12" s="46"/>
      <c r="BI12" s="46">
        <f t="shared" si="23"/>
        <v>0</v>
      </c>
      <c r="BJ12" s="46"/>
      <c r="BK12" s="46"/>
      <c r="BL12" s="46">
        <f t="shared" si="2"/>
        <v>0</v>
      </c>
      <c r="BM12" s="46"/>
      <c r="BN12" s="46"/>
      <c r="BO12" s="46">
        <f t="shared" si="24"/>
        <v>0</v>
      </c>
      <c r="BP12" s="46"/>
      <c r="BQ12" s="46"/>
      <c r="BR12" s="46">
        <f t="shared" si="25"/>
        <v>0</v>
      </c>
      <c r="BS12" s="46"/>
      <c r="BT12" s="46"/>
      <c r="BU12" s="46">
        <f t="shared" si="26"/>
        <v>0</v>
      </c>
      <c r="BV12" s="46"/>
      <c r="BW12" s="46"/>
      <c r="BX12" s="46">
        <f t="shared" si="3"/>
        <v>0</v>
      </c>
      <c r="BY12" s="46"/>
      <c r="BZ12" s="46"/>
      <c r="CA12" s="46">
        <f t="shared" si="27"/>
        <v>0</v>
      </c>
      <c r="CB12" s="46"/>
      <c r="CC12" s="46"/>
      <c r="CD12" s="46">
        <f t="shared" si="28"/>
        <v>0</v>
      </c>
      <c r="CE12" s="46">
        <v>3233.93</v>
      </c>
      <c r="CF12" s="46">
        <v>7793.98</v>
      </c>
      <c r="CG12" s="46">
        <f t="shared" si="29"/>
        <v>11027.91</v>
      </c>
      <c r="CH12" s="46">
        <v>365</v>
      </c>
      <c r="CI12" s="46">
        <v>7331</v>
      </c>
      <c r="CJ12" s="46">
        <f t="shared" si="4"/>
        <v>7696</v>
      </c>
      <c r="CK12" s="46"/>
      <c r="CL12" s="46"/>
      <c r="CM12" s="46">
        <f t="shared" si="30"/>
        <v>0</v>
      </c>
      <c r="CN12" s="46"/>
      <c r="CO12" s="46"/>
      <c r="CP12" s="46">
        <f t="shared" si="5"/>
        <v>0</v>
      </c>
    </row>
    <row r="13" spans="1:94" ht="15" customHeight="1" x14ac:dyDescent="0.25">
      <c r="A13" s="47" t="s">
        <v>311</v>
      </c>
      <c r="B13" s="46"/>
      <c r="C13" s="46"/>
      <c r="D13" s="46"/>
      <c r="E13" s="46"/>
      <c r="F13" s="46"/>
      <c r="G13" s="46">
        <f t="shared" si="6"/>
        <v>0</v>
      </c>
      <c r="H13" s="46"/>
      <c r="I13" s="46"/>
      <c r="J13" s="46">
        <f t="shared" si="1"/>
        <v>0</v>
      </c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</row>
    <row r="14" spans="1:94" ht="15" customHeight="1" x14ac:dyDescent="0.25">
      <c r="A14" s="47" t="s">
        <v>312</v>
      </c>
      <c r="B14" s="46">
        <v>1420</v>
      </c>
      <c r="C14" s="46">
        <v>4084</v>
      </c>
      <c r="D14" s="46">
        <f t="shared" si="0"/>
        <v>5504</v>
      </c>
      <c r="E14" s="46"/>
      <c r="F14" s="46">
        <v>9902</v>
      </c>
      <c r="G14" s="46">
        <f t="shared" si="6"/>
        <v>9902</v>
      </c>
      <c r="H14" s="46">
        <v>39674</v>
      </c>
      <c r="I14" s="46">
        <v>141320</v>
      </c>
      <c r="J14" s="46">
        <f t="shared" si="1"/>
        <v>180994</v>
      </c>
      <c r="K14" s="46">
        <v>14011</v>
      </c>
      <c r="L14" s="46">
        <v>298449</v>
      </c>
      <c r="M14" s="46">
        <f t="shared" si="7"/>
        <v>312460</v>
      </c>
      <c r="N14" s="46">
        <v>18090.080000000002</v>
      </c>
      <c r="O14" s="46">
        <v>26431.39</v>
      </c>
      <c r="P14" s="46">
        <f t="shared" si="8"/>
        <v>44521.47</v>
      </c>
      <c r="Q14" s="46">
        <v>12395</v>
      </c>
      <c r="R14" s="46">
        <v>90658</v>
      </c>
      <c r="S14" s="46">
        <f t="shared" si="9"/>
        <v>103053</v>
      </c>
      <c r="T14" s="46">
        <v>68471.929999999993</v>
      </c>
      <c r="U14" s="46">
        <v>83687.91</v>
      </c>
      <c r="V14" s="46">
        <f t="shared" si="10"/>
        <v>152159.84</v>
      </c>
      <c r="W14" s="46"/>
      <c r="X14" s="46">
        <v>1031</v>
      </c>
      <c r="Y14" s="46">
        <f t="shared" si="11"/>
        <v>1031</v>
      </c>
      <c r="Z14" s="46">
        <v>16303.77</v>
      </c>
      <c r="AA14" s="46">
        <v>56930.01</v>
      </c>
      <c r="AB14" s="46">
        <f t="shared" si="12"/>
        <v>73233.78</v>
      </c>
      <c r="AC14" s="46">
        <v>2499</v>
      </c>
      <c r="AD14" s="46">
        <v>35766</v>
      </c>
      <c r="AE14" s="46">
        <f t="shared" si="13"/>
        <v>38265</v>
      </c>
      <c r="AF14" s="46">
        <v>50366</v>
      </c>
      <c r="AG14" s="46">
        <v>195470</v>
      </c>
      <c r="AH14" s="46">
        <f t="shared" si="14"/>
        <v>245836</v>
      </c>
      <c r="AI14" s="46">
        <v>89729</v>
      </c>
      <c r="AJ14" s="46">
        <v>297442</v>
      </c>
      <c r="AK14" s="46">
        <f t="shared" si="15"/>
        <v>387171</v>
      </c>
      <c r="AL14" s="46">
        <v>6862</v>
      </c>
      <c r="AM14" s="46">
        <v>34833</v>
      </c>
      <c r="AN14" s="46">
        <f t="shared" si="16"/>
        <v>41695</v>
      </c>
      <c r="AO14" s="46">
        <v>2016</v>
      </c>
      <c r="AP14" s="46">
        <v>5519</v>
      </c>
      <c r="AQ14" s="46">
        <f t="shared" si="17"/>
        <v>7535</v>
      </c>
      <c r="AR14" s="46">
        <v>24426.32</v>
      </c>
      <c r="AS14" s="46">
        <v>62644.45</v>
      </c>
      <c r="AT14" s="46">
        <f t="shared" si="18"/>
        <v>87070.76999999999</v>
      </c>
      <c r="AU14" s="46">
        <v>5475.58</v>
      </c>
      <c r="AV14" s="46">
        <v>37726.120000000003</v>
      </c>
      <c r="AW14" s="46">
        <f t="shared" si="19"/>
        <v>43201.700000000004</v>
      </c>
      <c r="AX14" s="46">
        <v>1563.25</v>
      </c>
      <c r="AY14" s="46">
        <v>7872.53</v>
      </c>
      <c r="AZ14" s="46">
        <f t="shared" si="20"/>
        <v>9435.7799999999988</v>
      </c>
      <c r="BA14" s="46">
        <v>13071.98</v>
      </c>
      <c r="BB14" s="46">
        <v>34638.449999999997</v>
      </c>
      <c r="BC14" s="46">
        <f t="shared" si="21"/>
        <v>47710.429999999993</v>
      </c>
      <c r="BD14" s="46">
        <v>666.71</v>
      </c>
      <c r="BE14" s="46">
        <v>248235.22</v>
      </c>
      <c r="BF14" s="46">
        <f t="shared" si="22"/>
        <v>248901.93</v>
      </c>
      <c r="BG14" s="46">
        <v>8661</v>
      </c>
      <c r="BH14" s="46">
        <v>9557</v>
      </c>
      <c r="BI14" s="46">
        <f t="shared" si="23"/>
        <v>18218</v>
      </c>
      <c r="BJ14" s="46">
        <v>4864</v>
      </c>
      <c r="BK14" s="46">
        <v>13498</v>
      </c>
      <c r="BL14" s="46">
        <f t="shared" si="2"/>
        <v>18362</v>
      </c>
      <c r="BM14" s="46">
        <v>48322</v>
      </c>
      <c r="BN14" s="46">
        <v>263985</v>
      </c>
      <c r="BO14" s="46">
        <f t="shared" si="24"/>
        <v>312307</v>
      </c>
      <c r="BP14" s="46">
        <v>20385.830000000002</v>
      </c>
      <c r="BQ14" s="46">
        <v>92537.78</v>
      </c>
      <c r="BR14" s="46">
        <f t="shared" si="25"/>
        <v>112923.61</v>
      </c>
      <c r="BS14" s="46">
        <v>26788</v>
      </c>
      <c r="BT14" s="46">
        <v>86253</v>
      </c>
      <c r="BU14" s="46">
        <f t="shared" si="26"/>
        <v>113041</v>
      </c>
      <c r="BV14" s="46">
        <v>2786</v>
      </c>
      <c r="BW14" s="46">
        <v>31594</v>
      </c>
      <c r="BX14" s="46">
        <f t="shared" si="3"/>
        <v>34380</v>
      </c>
      <c r="BY14" s="46"/>
      <c r="BZ14" s="46"/>
      <c r="CA14" s="46">
        <f t="shared" si="27"/>
        <v>0</v>
      </c>
      <c r="CB14" s="46">
        <v>62327</v>
      </c>
      <c r="CC14" s="46">
        <v>265376</v>
      </c>
      <c r="CD14" s="46">
        <f t="shared" si="28"/>
        <v>327703</v>
      </c>
      <c r="CE14" s="46">
        <v>48604.11</v>
      </c>
      <c r="CF14" s="46">
        <v>114375.52</v>
      </c>
      <c r="CG14" s="46">
        <f t="shared" si="29"/>
        <v>162979.63</v>
      </c>
      <c r="CH14" s="46">
        <v>2276</v>
      </c>
      <c r="CI14" s="46">
        <v>45744</v>
      </c>
      <c r="CJ14" s="46">
        <f t="shared" si="4"/>
        <v>48020</v>
      </c>
      <c r="CK14" s="46">
        <v>14078</v>
      </c>
      <c r="CL14" s="46">
        <v>133647</v>
      </c>
      <c r="CM14" s="46">
        <f t="shared" si="30"/>
        <v>147725</v>
      </c>
      <c r="CN14" s="46">
        <v>11957</v>
      </c>
      <c r="CO14" s="46">
        <v>38884</v>
      </c>
      <c r="CP14" s="46">
        <f t="shared" si="5"/>
        <v>50841</v>
      </c>
    </row>
    <row r="15" spans="1:94" ht="15" customHeight="1" x14ac:dyDescent="0.25">
      <c r="A15" s="47" t="s">
        <v>168</v>
      </c>
      <c r="B15" s="46"/>
      <c r="C15" s="46"/>
      <c r="D15" s="46">
        <f t="shared" si="0"/>
        <v>0</v>
      </c>
      <c r="E15" s="46"/>
      <c r="F15" s="46"/>
      <c r="G15" s="46">
        <f t="shared" si="6"/>
        <v>0</v>
      </c>
      <c r="H15" s="46"/>
      <c r="I15" s="46"/>
      <c r="J15" s="46">
        <f t="shared" si="1"/>
        <v>0</v>
      </c>
      <c r="K15" s="46"/>
      <c r="L15" s="46"/>
      <c r="M15" s="46">
        <f t="shared" si="7"/>
        <v>0</v>
      </c>
      <c r="N15" s="46"/>
      <c r="O15" s="46"/>
      <c r="P15" s="46">
        <f t="shared" si="8"/>
        <v>0</v>
      </c>
      <c r="Q15" s="46">
        <v>272</v>
      </c>
      <c r="R15" s="46">
        <v>1991</v>
      </c>
      <c r="S15" s="46">
        <f t="shared" si="9"/>
        <v>2263</v>
      </c>
      <c r="T15" s="46"/>
      <c r="U15" s="46"/>
      <c r="V15" s="46">
        <f t="shared" si="10"/>
        <v>0</v>
      </c>
      <c r="W15" s="46"/>
      <c r="X15" s="46"/>
      <c r="Y15" s="46">
        <f t="shared" si="11"/>
        <v>0</v>
      </c>
      <c r="Z15" s="46"/>
      <c r="AA15" s="46"/>
      <c r="AB15" s="46">
        <f t="shared" si="12"/>
        <v>0</v>
      </c>
      <c r="AC15" s="46"/>
      <c r="AD15" s="46"/>
      <c r="AE15" s="46">
        <f t="shared" si="13"/>
        <v>0</v>
      </c>
      <c r="AF15" s="46">
        <v>49</v>
      </c>
      <c r="AG15" s="46">
        <v>192</v>
      </c>
      <c r="AH15" s="46">
        <f t="shared" si="14"/>
        <v>241</v>
      </c>
      <c r="AI15" s="46">
        <v>26781</v>
      </c>
      <c r="AJ15" s="46">
        <v>81235</v>
      </c>
      <c r="AK15" s="46">
        <f t="shared" si="15"/>
        <v>108016</v>
      </c>
      <c r="AL15" s="46"/>
      <c r="AM15" s="46"/>
      <c r="AN15" s="46">
        <f>AM15+AL15</f>
        <v>0</v>
      </c>
      <c r="AO15" s="46"/>
      <c r="AP15" s="46"/>
      <c r="AQ15" s="46">
        <f t="shared" si="17"/>
        <v>0</v>
      </c>
      <c r="AR15" s="46"/>
      <c r="AS15" s="46"/>
      <c r="AT15" s="46">
        <f t="shared" si="18"/>
        <v>0</v>
      </c>
      <c r="AU15" s="46">
        <v>1013.96</v>
      </c>
      <c r="AV15" s="46">
        <v>6986.04</v>
      </c>
      <c r="AW15" s="46">
        <f t="shared" si="19"/>
        <v>8000</v>
      </c>
      <c r="AX15" s="46"/>
      <c r="AY15" s="46"/>
      <c r="AZ15" s="46">
        <f t="shared" si="20"/>
        <v>0</v>
      </c>
      <c r="BA15" s="46"/>
      <c r="BB15" s="46">
        <v>2754</v>
      </c>
      <c r="BC15" s="46">
        <f t="shared" si="21"/>
        <v>2754</v>
      </c>
      <c r="BD15" s="46">
        <v>0.96</v>
      </c>
      <c r="BE15" s="46">
        <v>358.41</v>
      </c>
      <c r="BF15" s="46">
        <f t="shared" si="22"/>
        <v>359.37</v>
      </c>
      <c r="BG15" s="46"/>
      <c r="BH15" s="46">
        <v>214</v>
      </c>
      <c r="BI15" s="46">
        <f t="shared" si="23"/>
        <v>214</v>
      </c>
      <c r="BJ15" s="46">
        <v>9</v>
      </c>
      <c r="BK15" s="46">
        <v>25</v>
      </c>
      <c r="BL15" s="46">
        <f t="shared" si="2"/>
        <v>34</v>
      </c>
      <c r="BM15" s="46"/>
      <c r="BN15" s="46"/>
      <c r="BO15" s="46">
        <f t="shared" si="24"/>
        <v>0</v>
      </c>
      <c r="BP15" s="46">
        <v>136.83000000000001</v>
      </c>
      <c r="BQ15" s="46">
        <v>621.11</v>
      </c>
      <c r="BR15" s="46">
        <f t="shared" si="25"/>
        <v>757.94</v>
      </c>
      <c r="BS15" s="46"/>
      <c r="BT15" s="46"/>
      <c r="BU15" s="46">
        <f t="shared" si="26"/>
        <v>0</v>
      </c>
      <c r="BV15" s="46"/>
      <c r="BW15" s="46"/>
      <c r="BX15" s="46">
        <f t="shared" si="3"/>
        <v>0</v>
      </c>
      <c r="BY15" s="46"/>
      <c r="BZ15" s="46"/>
      <c r="CA15" s="46">
        <f t="shared" si="27"/>
        <v>0</v>
      </c>
      <c r="CB15" s="46"/>
      <c r="CC15" s="46"/>
      <c r="CD15" s="46">
        <f t="shared" si="28"/>
        <v>0</v>
      </c>
      <c r="CE15" s="46"/>
      <c r="CF15" s="46"/>
      <c r="CG15" s="46">
        <f t="shared" si="29"/>
        <v>0</v>
      </c>
      <c r="CH15" s="46">
        <v>1267</v>
      </c>
      <c r="CI15" s="46">
        <v>25454</v>
      </c>
      <c r="CJ15" s="46">
        <f t="shared" si="4"/>
        <v>26721</v>
      </c>
      <c r="CK15" s="46"/>
      <c r="CL15" s="46"/>
      <c r="CM15" s="46">
        <f t="shared" si="30"/>
        <v>0</v>
      </c>
      <c r="CN15" s="46"/>
      <c r="CO15" s="46"/>
      <c r="CP15" s="46">
        <f t="shared" si="5"/>
        <v>0</v>
      </c>
    </row>
    <row r="16" spans="1:94" ht="15" customHeight="1" x14ac:dyDescent="0.25">
      <c r="A16" s="47" t="s">
        <v>162</v>
      </c>
      <c r="B16" s="46"/>
      <c r="C16" s="46"/>
      <c r="D16" s="46">
        <f t="shared" si="0"/>
        <v>0</v>
      </c>
      <c r="E16" s="46"/>
      <c r="F16" s="46"/>
      <c r="G16" s="46">
        <f t="shared" si="6"/>
        <v>0</v>
      </c>
      <c r="H16" s="46"/>
      <c r="I16" s="46"/>
      <c r="J16" s="46">
        <f t="shared" si="1"/>
        <v>0</v>
      </c>
      <c r="K16" s="46"/>
      <c r="L16" s="46"/>
      <c r="M16" s="46">
        <f t="shared" si="7"/>
        <v>0</v>
      </c>
      <c r="N16" s="46"/>
      <c r="O16" s="46"/>
      <c r="P16" s="46">
        <f t="shared" si="8"/>
        <v>0</v>
      </c>
      <c r="Q16" s="46"/>
      <c r="R16" s="46"/>
      <c r="S16" s="46">
        <f t="shared" si="9"/>
        <v>0</v>
      </c>
      <c r="T16" s="46"/>
      <c r="U16" s="46"/>
      <c r="V16" s="46">
        <f t="shared" si="10"/>
        <v>0</v>
      </c>
      <c r="W16" s="46"/>
      <c r="X16" s="46"/>
      <c r="Y16" s="46">
        <f t="shared" si="11"/>
        <v>0</v>
      </c>
      <c r="Z16" s="46"/>
      <c r="AA16" s="46"/>
      <c r="AB16" s="46">
        <f t="shared" si="12"/>
        <v>0</v>
      </c>
      <c r="AC16" s="46"/>
      <c r="AD16" s="46"/>
      <c r="AE16" s="46">
        <f t="shared" si="13"/>
        <v>0</v>
      </c>
      <c r="AF16" s="46"/>
      <c r="AG16" s="46"/>
      <c r="AH16" s="46">
        <f t="shared" si="14"/>
        <v>0</v>
      </c>
      <c r="AI16" s="46"/>
      <c r="AJ16" s="46"/>
      <c r="AK16" s="46">
        <f t="shared" si="15"/>
        <v>0</v>
      </c>
      <c r="AL16" s="46">
        <v>8</v>
      </c>
      <c r="AM16" s="46">
        <v>42</v>
      </c>
      <c r="AN16" s="46">
        <f t="shared" si="16"/>
        <v>50</v>
      </c>
      <c r="AO16" s="46"/>
      <c r="AP16" s="46"/>
      <c r="AQ16" s="46">
        <f t="shared" si="17"/>
        <v>0</v>
      </c>
      <c r="AR16" s="46"/>
      <c r="AS16" s="46"/>
      <c r="AT16" s="46">
        <f t="shared" si="18"/>
        <v>0</v>
      </c>
      <c r="AU16" s="46"/>
      <c r="AV16" s="46"/>
      <c r="AW16" s="46">
        <f t="shared" si="19"/>
        <v>0</v>
      </c>
      <c r="AX16" s="46"/>
      <c r="AY16" s="46"/>
      <c r="AZ16" s="46">
        <f t="shared" si="20"/>
        <v>0</v>
      </c>
      <c r="BA16" s="46"/>
      <c r="BB16" s="46"/>
      <c r="BC16" s="46">
        <f t="shared" si="21"/>
        <v>0</v>
      </c>
      <c r="BD16" s="46"/>
      <c r="BE16" s="46"/>
      <c r="BF16" s="46">
        <f t="shared" si="22"/>
        <v>0</v>
      </c>
      <c r="BG16" s="46"/>
      <c r="BH16" s="46"/>
      <c r="BI16" s="46">
        <f t="shared" si="23"/>
        <v>0</v>
      </c>
      <c r="BJ16" s="46"/>
      <c r="BK16" s="46"/>
      <c r="BL16" s="46">
        <f t="shared" si="2"/>
        <v>0</v>
      </c>
      <c r="BM16" s="46"/>
      <c r="BN16" s="46"/>
      <c r="BO16" s="46">
        <f t="shared" si="24"/>
        <v>0</v>
      </c>
      <c r="BP16" s="46"/>
      <c r="BQ16" s="46"/>
      <c r="BR16" s="46">
        <f t="shared" si="25"/>
        <v>0</v>
      </c>
      <c r="BS16" s="46"/>
      <c r="BT16" s="46"/>
      <c r="BU16" s="46">
        <f t="shared" si="26"/>
        <v>0</v>
      </c>
      <c r="BV16" s="46">
        <v>16139</v>
      </c>
      <c r="BW16" s="46"/>
      <c r="BX16" s="46">
        <f t="shared" si="3"/>
        <v>16139</v>
      </c>
      <c r="BY16" s="46"/>
      <c r="BZ16" s="46"/>
      <c r="CA16" s="46">
        <f t="shared" si="27"/>
        <v>0</v>
      </c>
      <c r="CB16" s="46"/>
      <c r="CC16" s="46"/>
      <c r="CD16" s="46">
        <f t="shared" si="28"/>
        <v>0</v>
      </c>
      <c r="CE16" s="46">
        <v>9705.86</v>
      </c>
      <c r="CF16" s="46"/>
      <c r="CG16" s="46">
        <f t="shared" si="29"/>
        <v>9705.86</v>
      </c>
      <c r="CH16" s="46"/>
      <c r="CI16" s="46">
        <v>5</v>
      </c>
      <c r="CJ16" s="46">
        <f t="shared" si="4"/>
        <v>5</v>
      </c>
      <c r="CK16" s="46"/>
      <c r="CL16" s="46"/>
      <c r="CM16" s="46">
        <f t="shared" si="30"/>
        <v>0</v>
      </c>
      <c r="CN16" s="46"/>
      <c r="CO16" s="46"/>
      <c r="CP16" s="46">
        <f t="shared" si="5"/>
        <v>0</v>
      </c>
    </row>
    <row r="17" spans="1:94" ht="15" customHeight="1" x14ac:dyDescent="0.25">
      <c r="A17" s="47" t="s">
        <v>163</v>
      </c>
      <c r="B17" s="46"/>
      <c r="C17" s="46"/>
      <c r="D17" s="46">
        <f t="shared" si="0"/>
        <v>0</v>
      </c>
      <c r="E17" s="46"/>
      <c r="F17" s="46"/>
      <c r="G17" s="46">
        <f t="shared" si="6"/>
        <v>0</v>
      </c>
      <c r="H17" s="46"/>
      <c r="I17" s="46"/>
      <c r="J17" s="46">
        <f t="shared" si="1"/>
        <v>0</v>
      </c>
      <c r="K17" s="46"/>
      <c r="L17" s="46"/>
      <c r="M17" s="46">
        <f t="shared" si="7"/>
        <v>0</v>
      </c>
      <c r="N17" s="46"/>
      <c r="O17" s="46"/>
      <c r="P17" s="46">
        <f t="shared" si="8"/>
        <v>0</v>
      </c>
      <c r="Q17" s="46">
        <v>371</v>
      </c>
      <c r="R17" s="46">
        <v>2713</v>
      </c>
      <c r="S17" s="46">
        <f t="shared" si="9"/>
        <v>3084</v>
      </c>
      <c r="T17" s="46"/>
      <c r="U17" s="46"/>
      <c r="V17" s="46">
        <f t="shared" si="10"/>
        <v>0</v>
      </c>
      <c r="W17" s="46"/>
      <c r="X17" s="46"/>
      <c r="Y17" s="46">
        <f t="shared" si="11"/>
        <v>0</v>
      </c>
      <c r="Z17" s="46"/>
      <c r="AA17" s="46"/>
      <c r="AB17" s="46">
        <f t="shared" si="12"/>
        <v>0</v>
      </c>
      <c r="AC17" s="46"/>
      <c r="AD17" s="46"/>
      <c r="AE17" s="46">
        <f t="shared" si="13"/>
        <v>0</v>
      </c>
      <c r="AF17" s="46"/>
      <c r="AG17" s="46"/>
      <c r="AH17" s="46">
        <f t="shared" si="14"/>
        <v>0</v>
      </c>
      <c r="AI17" s="46">
        <v>8146</v>
      </c>
      <c r="AJ17" s="46">
        <v>27002</v>
      </c>
      <c r="AK17" s="46">
        <f t="shared" si="15"/>
        <v>35148</v>
      </c>
      <c r="AL17" s="46"/>
      <c r="AM17" s="46"/>
      <c r="AN17" s="46">
        <f t="shared" si="16"/>
        <v>0</v>
      </c>
      <c r="AO17" s="46"/>
      <c r="AP17" s="46"/>
      <c r="AQ17" s="46">
        <f t="shared" si="17"/>
        <v>0</v>
      </c>
      <c r="AR17" s="46"/>
      <c r="AS17" s="46"/>
      <c r="AT17" s="46">
        <f t="shared" si="18"/>
        <v>0</v>
      </c>
      <c r="AU17" s="46"/>
      <c r="AV17" s="46"/>
      <c r="AW17" s="46">
        <f t="shared" si="19"/>
        <v>0</v>
      </c>
      <c r="AX17" s="46"/>
      <c r="AY17" s="46"/>
      <c r="AZ17" s="46">
        <f t="shared" si="20"/>
        <v>0</v>
      </c>
      <c r="BA17" s="46"/>
      <c r="BB17" s="46"/>
      <c r="BC17" s="46">
        <f t="shared" si="21"/>
        <v>0</v>
      </c>
      <c r="BD17" s="46">
        <v>0.06</v>
      </c>
      <c r="BE17" s="46">
        <v>22.65</v>
      </c>
      <c r="BF17" s="46">
        <f t="shared" si="22"/>
        <v>22.709999999999997</v>
      </c>
      <c r="BG17" s="46"/>
      <c r="BH17" s="46"/>
      <c r="BI17" s="46">
        <f t="shared" si="23"/>
        <v>0</v>
      </c>
      <c r="BJ17" s="46"/>
      <c r="BK17" s="46"/>
      <c r="BL17" s="46">
        <f t="shared" si="2"/>
        <v>0</v>
      </c>
      <c r="BM17" s="46"/>
      <c r="BN17" s="46"/>
      <c r="BO17" s="46">
        <f t="shared" si="24"/>
        <v>0</v>
      </c>
      <c r="BP17" s="46"/>
      <c r="BQ17" s="46"/>
      <c r="BR17" s="46">
        <f t="shared" si="25"/>
        <v>0</v>
      </c>
      <c r="BS17" s="46"/>
      <c r="BT17" s="46"/>
      <c r="BU17" s="46">
        <f t="shared" si="26"/>
        <v>0</v>
      </c>
      <c r="BV17" s="46"/>
      <c r="BW17" s="46"/>
      <c r="BX17" s="46">
        <f t="shared" si="3"/>
        <v>0</v>
      </c>
      <c r="BY17" s="46">
        <v>4247</v>
      </c>
      <c r="BZ17" s="46">
        <v>7170</v>
      </c>
      <c r="CA17" s="46">
        <f t="shared" si="27"/>
        <v>11417</v>
      </c>
      <c r="CB17" s="46">
        <v>3145</v>
      </c>
      <c r="CC17" s="46">
        <v>13390</v>
      </c>
      <c r="CD17" s="46">
        <f t="shared" si="28"/>
        <v>16535</v>
      </c>
      <c r="CE17" s="46"/>
      <c r="CF17" s="46"/>
      <c r="CG17" s="46">
        <f t="shared" si="29"/>
        <v>0</v>
      </c>
      <c r="CH17" s="46"/>
      <c r="CI17" s="46"/>
      <c r="CJ17" s="46">
        <f t="shared" si="4"/>
        <v>0</v>
      </c>
      <c r="CK17" s="46"/>
      <c r="CL17" s="46"/>
      <c r="CM17" s="46">
        <f t="shared" si="30"/>
        <v>0</v>
      </c>
      <c r="CN17" s="46"/>
      <c r="CO17" s="46"/>
      <c r="CP17" s="46">
        <f t="shared" si="5"/>
        <v>0</v>
      </c>
    </row>
    <row r="18" spans="1:94" ht="15" customHeight="1" x14ac:dyDescent="0.25">
      <c r="A18" s="47" t="s">
        <v>310</v>
      </c>
      <c r="B18" s="46">
        <v>5832</v>
      </c>
      <c r="C18" s="46">
        <v>16774</v>
      </c>
      <c r="D18" s="46">
        <f t="shared" si="0"/>
        <v>22606</v>
      </c>
      <c r="E18" s="46">
        <v>2581</v>
      </c>
      <c r="F18" s="46">
        <f>3240+4545</f>
        <v>7785</v>
      </c>
      <c r="G18" s="46">
        <f t="shared" si="6"/>
        <v>10366</v>
      </c>
      <c r="H18" s="46">
        <v>15642</v>
      </c>
      <c r="I18" s="46">
        <v>55719</v>
      </c>
      <c r="J18" s="46">
        <f t="shared" si="1"/>
        <v>71361</v>
      </c>
      <c r="K18" s="46">
        <v>102933</v>
      </c>
      <c r="L18" s="46">
        <v>323232</v>
      </c>
      <c r="M18" s="46">
        <f t="shared" si="7"/>
        <v>426165</v>
      </c>
      <c r="N18" s="46">
        <v>36177.71</v>
      </c>
      <c r="O18" s="46">
        <v>60805.4</v>
      </c>
      <c r="P18" s="46">
        <f t="shared" si="8"/>
        <v>96983.11</v>
      </c>
      <c r="Q18" s="46">
        <v>13068</v>
      </c>
      <c r="R18" s="46">
        <v>95583</v>
      </c>
      <c r="S18" s="46">
        <f t="shared" si="9"/>
        <v>108651</v>
      </c>
      <c r="T18" s="46">
        <v>143256.1</v>
      </c>
      <c r="U18" s="46">
        <v>175090.79</v>
      </c>
      <c r="V18" s="46">
        <f t="shared" si="10"/>
        <v>318346.89</v>
      </c>
      <c r="W18" s="46">
        <v>524</v>
      </c>
      <c r="X18" s="46">
        <v>5262</v>
      </c>
      <c r="Y18" s="46">
        <f t="shared" si="11"/>
        <v>5786</v>
      </c>
      <c r="Z18" s="46">
        <v>38396.99</v>
      </c>
      <c r="AA18" s="46">
        <v>134075.84</v>
      </c>
      <c r="AB18" s="46">
        <f t="shared" si="12"/>
        <v>172472.83</v>
      </c>
      <c r="AC18" s="46">
        <v>22882</v>
      </c>
      <c r="AD18" s="46">
        <v>62361</v>
      </c>
      <c r="AE18" s="46">
        <f t="shared" si="13"/>
        <v>85243</v>
      </c>
      <c r="AF18" s="46">
        <v>94531</v>
      </c>
      <c r="AG18" s="46">
        <v>366872</v>
      </c>
      <c r="AH18" s="46">
        <f t="shared" si="14"/>
        <v>461403</v>
      </c>
      <c r="AI18" s="46">
        <v>207239</v>
      </c>
      <c r="AJ18" s="46">
        <v>686970</v>
      </c>
      <c r="AK18" s="46">
        <f t="shared" si="15"/>
        <v>894209</v>
      </c>
      <c r="AL18" s="46">
        <v>76051</v>
      </c>
      <c r="AM18" s="46">
        <v>386075</v>
      </c>
      <c r="AN18" s="46">
        <f>AM18+AL18</f>
        <v>462126</v>
      </c>
      <c r="AO18" s="46">
        <v>3900</v>
      </c>
      <c r="AP18" s="46">
        <v>10675</v>
      </c>
      <c r="AQ18" s="46">
        <f t="shared" si="17"/>
        <v>14575</v>
      </c>
      <c r="AR18" s="46">
        <v>11152.19</v>
      </c>
      <c r="AS18" s="46">
        <v>28601.24</v>
      </c>
      <c r="AT18" s="46">
        <f t="shared" si="18"/>
        <v>39753.43</v>
      </c>
      <c r="AU18" s="46">
        <v>7877.05</v>
      </c>
      <c r="AV18" s="46">
        <v>54271.9</v>
      </c>
      <c r="AW18" s="46">
        <f t="shared" si="19"/>
        <v>62148.950000000004</v>
      </c>
      <c r="AX18" s="46">
        <v>6333.86</v>
      </c>
      <c r="AY18" s="46">
        <v>16399.099999999999</v>
      </c>
      <c r="AZ18" s="46">
        <f t="shared" si="20"/>
        <v>22732.959999999999</v>
      </c>
      <c r="BA18" s="46">
        <v>15745.97</v>
      </c>
      <c r="BB18" s="46">
        <v>26045.19</v>
      </c>
      <c r="BC18" s="46">
        <f t="shared" si="21"/>
        <v>41791.159999999996</v>
      </c>
      <c r="BD18" s="46">
        <v>584.20000000000005</v>
      </c>
      <c r="BE18" s="46">
        <v>217514.91</v>
      </c>
      <c r="BF18" s="46">
        <f t="shared" si="22"/>
        <v>218099.11000000002</v>
      </c>
      <c r="BG18" s="46">
        <v>5023</v>
      </c>
      <c r="BH18" s="46">
        <v>2822</v>
      </c>
      <c r="BI18" s="46">
        <f t="shared" si="23"/>
        <v>7845</v>
      </c>
      <c r="BJ18" s="46">
        <v>4948</v>
      </c>
      <c r="BK18" s="46">
        <v>13729</v>
      </c>
      <c r="BL18" s="46">
        <f t="shared" si="2"/>
        <v>18677</v>
      </c>
      <c r="BM18" s="46">
        <v>14098</v>
      </c>
      <c r="BN18" s="46">
        <v>77017</v>
      </c>
      <c r="BO18" s="46">
        <f t="shared" si="24"/>
        <v>91115</v>
      </c>
      <c r="BP18" s="46">
        <v>25877.72</v>
      </c>
      <c r="BQ18" s="46">
        <v>117467.26</v>
      </c>
      <c r="BR18" s="46">
        <f t="shared" si="25"/>
        <v>143344.97999999998</v>
      </c>
      <c r="BS18" s="46">
        <v>62670</v>
      </c>
      <c r="BT18" s="46">
        <v>232663</v>
      </c>
      <c r="BU18" s="46">
        <f t="shared" si="26"/>
        <v>295333</v>
      </c>
      <c r="BV18" s="46">
        <v>66365</v>
      </c>
      <c r="BW18" s="46">
        <v>538704</v>
      </c>
      <c r="BX18" s="46">
        <f t="shared" si="3"/>
        <v>605069</v>
      </c>
      <c r="BY18" s="46">
        <v>71406</v>
      </c>
      <c r="BZ18" s="46">
        <v>120547</v>
      </c>
      <c r="CA18" s="46">
        <f t="shared" si="27"/>
        <v>191953</v>
      </c>
      <c r="CB18" s="46">
        <v>67110</v>
      </c>
      <c r="CC18" s="46">
        <v>285739</v>
      </c>
      <c r="CD18" s="46">
        <f t="shared" si="28"/>
        <v>352849</v>
      </c>
      <c r="CE18" s="46">
        <v>208935.69</v>
      </c>
      <c r="CF18" s="46">
        <v>503548.36</v>
      </c>
      <c r="CG18" s="46">
        <f t="shared" si="29"/>
        <v>712484.05</v>
      </c>
      <c r="CH18" s="46">
        <v>2276</v>
      </c>
      <c r="CI18" s="46">
        <v>361629</v>
      </c>
      <c r="CJ18" s="46">
        <f t="shared" si="4"/>
        <v>363905</v>
      </c>
      <c r="CK18" s="46">
        <v>51808</v>
      </c>
      <c r="CL18" s="46">
        <v>491829</v>
      </c>
      <c r="CM18" s="46">
        <f t="shared" si="30"/>
        <v>543637</v>
      </c>
      <c r="CN18" s="46">
        <v>16682</v>
      </c>
      <c r="CO18" s="46">
        <v>54250</v>
      </c>
      <c r="CP18" s="46">
        <f t="shared" si="5"/>
        <v>70932</v>
      </c>
    </row>
    <row r="19" spans="1:94" ht="15" customHeight="1" x14ac:dyDescent="0.25">
      <c r="A19" s="47" t="s">
        <v>164</v>
      </c>
      <c r="B19" s="46"/>
      <c r="C19" s="46"/>
      <c r="D19" s="46">
        <f t="shared" si="0"/>
        <v>0</v>
      </c>
      <c r="E19" s="46"/>
      <c r="F19" s="46">
        <v>500</v>
      </c>
      <c r="G19" s="46">
        <f t="shared" si="6"/>
        <v>500</v>
      </c>
      <c r="H19" s="46">
        <v>37</v>
      </c>
      <c r="I19" s="46">
        <v>131</v>
      </c>
      <c r="J19" s="46">
        <f t="shared" si="1"/>
        <v>168</v>
      </c>
      <c r="K19" s="46"/>
      <c r="L19" s="46"/>
      <c r="M19" s="46">
        <f t="shared" si="7"/>
        <v>0</v>
      </c>
      <c r="N19" s="46">
        <v>715.33</v>
      </c>
      <c r="O19" s="46"/>
      <c r="P19" s="46">
        <f t="shared" si="8"/>
        <v>715.33</v>
      </c>
      <c r="Q19" s="46">
        <v>292</v>
      </c>
      <c r="R19" s="46">
        <v>2139</v>
      </c>
      <c r="S19" s="46">
        <f t="shared" si="9"/>
        <v>2431</v>
      </c>
      <c r="T19" s="46">
        <v>7804.5</v>
      </c>
      <c r="U19" s="46">
        <v>9538.84</v>
      </c>
      <c r="V19" s="46">
        <f t="shared" si="10"/>
        <v>17343.34</v>
      </c>
      <c r="W19" s="46">
        <v>510</v>
      </c>
      <c r="X19" s="46">
        <v>1000</v>
      </c>
      <c r="Y19" s="46">
        <f t="shared" si="11"/>
        <v>1510</v>
      </c>
      <c r="Z19" s="46">
        <f>-281.57+1243.81</f>
        <v>962.24</v>
      </c>
      <c r="AA19" s="46">
        <f>-983.2+4343.19</f>
        <v>3359.99</v>
      </c>
      <c r="AB19" s="46">
        <f t="shared" si="12"/>
        <v>4322.2299999999996</v>
      </c>
      <c r="AC19" s="46">
        <v>2227</v>
      </c>
      <c r="AD19" s="46"/>
      <c r="AE19" s="46">
        <f t="shared" si="13"/>
        <v>2227</v>
      </c>
      <c r="AF19" s="46"/>
      <c r="AG19" s="46"/>
      <c r="AH19" s="46">
        <f t="shared" si="14"/>
        <v>0</v>
      </c>
      <c r="AI19" s="46"/>
      <c r="AJ19" s="46"/>
      <c r="AK19" s="46">
        <f t="shared" si="15"/>
        <v>0</v>
      </c>
      <c r="AL19" s="46"/>
      <c r="AM19" s="46"/>
      <c r="AN19" s="46">
        <f t="shared" si="16"/>
        <v>0</v>
      </c>
      <c r="AO19" s="46">
        <v>418</v>
      </c>
      <c r="AP19" s="46">
        <v>1143</v>
      </c>
      <c r="AQ19" s="46">
        <f t="shared" ref="AQ19" si="31">AP19+AO19</f>
        <v>1561</v>
      </c>
      <c r="AR19" s="46"/>
      <c r="AS19" s="46"/>
      <c r="AT19" s="46">
        <f t="shared" si="18"/>
        <v>0</v>
      </c>
      <c r="AU19" s="46">
        <v>1457.47</v>
      </c>
      <c r="AV19" s="46">
        <v>10041.780000000001</v>
      </c>
      <c r="AW19" s="46">
        <f t="shared" si="19"/>
        <v>11499.25</v>
      </c>
      <c r="AX19" s="46"/>
      <c r="AY19" s="46"/>
      <c r="AZ19" s="46">
        <f t="shared" si="20"/>
        <v>0</v>
      </c>
      <c r="BA19" s="46"/>
      <c r="BB19" s="46"/>
      <c r="BC19" s="46">
        <f t="shared" si="21"/>
        <v>0</v>
      </c>
      <c r="BD19" s="46"/>
      <c r="BE19" s="46"/>
      <c r="BF19" s="46">
        <f t="shared" si="22"/>
        <v>0</v>
      </c>
      <c r="BG19" s="46">
        <v>1191</v>
      </c>
      <c r="BH19" s="46">
        <v>2034</v>
      </c>
      <c r="BI19" s="46">
        <f t="shared" si="23"/>
        <v>3225</v>
      </c>
      <c r="BJ19" s="46"/>
      <c r="BK19" s="46"/>
      <c r="BL19" s="46">
        <f t="shared" si="2"/>
        <v>0</v>
      </c>
      <c r="BM19" s="46">
        <f>1733-330</f>
        <v>1403</v>
      </c>
      <c r="BN19" s="46">
        <f>9472-1802</f>
        <v>7670</v>
      </c>
      <c r="BO19" s="46">
        <f t="shared" si="24"/>
        <v>9073</v>
      </c>
      <c r="BP19" s="46">
        <v>1987.5</v>
      </c>
      <c r="BQ19" s="46">
        <v>9021.8799999999992</v>
      </c>
      <c r="BR19" s="46">
        <f t="shared" si="25"/>
        <v>11009.38</v>
      </c>
      <c r="BS19" s="46">
        <v>18285</v>
      </c>
      <c r="BT19" s="46">
        <v>1000</v>
      </c>
      <c r="BU19" s="46">
        <f t="shared" si="26"/>
        <v>19285</v>
      </c>
      <c r="BV19" s="46"/>
      <c r="BW19" s="46"/>
      <c r="BX19" s="46">
        <f t="shared" si="3"/>
        <v>0</v>
      </c>
      <c r="BY19" s="46">
        <v>9418</v>
      </c>
      <c r="BZ19" s="46">
        <v>15900</v>
      </c>
      <c r="CA19" s="46">
        <f t="shared" si="27"/>
        <v>25318</v>
      </c>
      <c r="CB19" s="46">
        <f>6968+2416+561</f>
        <v>9945</v>
      </c>
      <c r="CC19" s="46">
        <f>29669+10287+2388</f>
        <v>42344</v>
      </c>
      <c r="CD19" s="46">
        <f t="shared" si="28"/>
        <v>52289</v>
      </c>
      <c r="CE19" s="46">
        <v>109129.17</v>
      </c>
      <c r="CF19" s="46">
        <v>256759.54</v>
      </c>
      <c r="CG19" s="46">
        <f t="shared" si="29"/>
        <v>365888.71</v>
      </c>
      <c r="CH19" s="46">
        <v>1267</v>
      </c>
      <c r="CI19" s="46">
        <v>140001</v>
      </c>
      <c r="CJ19" s="46">
        <f t="shared" si="4"/>
        <v>141268</v>
      </c>
      <c r="CK19" s="46">
        <v>19941</v>
      </c>
      <c r="CL19" s="46">
        <v>189305</v>
      </c>
      <c r="CM19" s="46">
        <f t="shared" si="30"/>
        <v>209246</v>
      </c>
      <c r="CN19" s="46">
        <v>120</v>
      </c>
      <c r="CO19" s="46">
        <v>391</v>
      </c>
      <c r="CP19" s="46">
        <f t="shared" si="5"/>
        <v>511</v>
      </c>
    </row>
    <row r="20" spans="1:94" s="49" customFormat="1" ht="15" customHeight="1" x14ac:dyDescent="0.25">
      <c r="A20" s="45" t="s">
        <v>165</v>
      </c>
      <c r="B20" s="48">
        <f t="shared" ref="B20:AG20" si="32">SUM(B6:B19)</f>
        <v>15117</v>
      </c>
      <c r="C20" s="48">
        <f t="shared" si="32"/>
        <v>43479</v>
      </c>
      <c r="D20" s="48">
        <f t="shared" si="32"/>
        <v>58596</v>
      </c>
      <c r="E20" s="48">
        <f t="shared" si="32"/>
        <v>30470</v>
      </c>
      <c r="F20" s="48">
        <f t="shared" si="32"/>
        <v>85396</v>
      </c>
      <c r="G20" s="48">
        <f t="shared" si="32"/>
        <v>115866</v>
      </c>
      <c r="H20" s="48">
        <f t="shared" si="32"/>
        <v>270513</v>
      </c>
      <c r="I20" s="48">
        <f t="shared" si="32"/>
        <v>963574</v>
      </c>
      <c r="J20" s="48">
        <f t="shared" si="32"/>
        <v>1234087</v>
      </c>
      <c r="K20" s="48">
        <f t="shared" si="32"/>
        <v>318460</v>
      </c>
      <c r="L20" s="48">
        <f t="shared" si="32"/>
        <v>1751647</v>
      </c>
      <c r="M20" s="48">
        <f t="shared" si="32"/>
        <v>2070107</v>
      </c>
      <c r="N20" s="48">
        <f t="shared" si="32"/>
        <v>80330.83</v>
      </c>
      <c r="O20" s="48">
        <f t="shared" si="32"/>
        <v>142682.60999999999</v>
      </c>
      <c r="P20" s="48">
        <f t="shared" si="32"/>
        <v>223013.44</v>
      </c>
      <c r="Q20" s="48">
        <f t="shared" si="32"/>
        <v>116465</v>
      </c>
      <c r="R20" s="48">
        <f t="shared" si="32"/>
        <v>851852</v>
      </c>
      <c r="S20" s="48">
        <f t="shared" si="32"/>
        <v>968317</v>
      </c>
      <c r="T20" s="48">
        <f t="shared" si="32"/>
        <v>551630.07999999996</v>
      </c>
      <c r="U20" s="48">
        <f t="shared" si="32"/>
        <v>674214.54</v>
      </c>
      <c r="V20" s="48">
        <f t="shared" si="32"/>
        <v>1225844.6200000001</v>
      </c>
      <c r="W20" s="48">
        <f t="shared" si="32"/>
        <v>4125</v>
      </c>
      <c r="X20" s="48">
        <f t="shared" si="32"/>
        <v>17582</v>
      </c>
      <c r="Y20" s="48">
        <f t="shared" si="32"/>
        <v>21707</v>
      </c>
      <c r="Z20" s="48">
        <f t="shared" si="32"/>
        <v>112723.11</v>
      </c>
      <c r="AA20" s="48">
        <f t="shared" si="32"/>
        <v>393610.15</v>
      </c>
      <c r="AB20" s="48">
        <f t="shared" si="32"/>
        <v>506333.25999999989</v>
      </c>
      <c r="AC20" s="48">
        <f t="shared" si="32"/>
        <v>90849</v>
      </c>
      <c r="AD20" s="48">
        <f t="shared" si="32"/>
        <v>381641</v>
      </c>
      <c r="AE20" s="48">
        <f t="shared" si="32"/>
        <v>472490</v>
      </c>
      <c r="AF20" s="48">
        <f t="shared" si="32"/>
        <v>306950</v>
      </c>
      <c r="AG20" s="48">
        <f t="shared" si="32"/>
        <v>1191264</v>
      </c>
      <c r="AH20" s="48">
        <f t="shared" ref="AH20:BM20" si="33">SUM(AH6:AH19)</f>
        <v>1498214</v>
      </c>
      <c r="AI20" s="48">
        <f t="shared" si="33"/>
        <v>764546</v>
      </c>
      <c r="AJ20" s="48">
        <f t="shared" si="33"/>
        <v>2546975</v>
      </c>
      <c r="AK20" s="48">
        <f t="shared" si="33"/>
        <v>3311521</v>
      </c>
      <c r="AL20" s="48">
        <f t="shared" si="33"/>
        <v>169619</v>
      </c>
      <c r="AM20" s="48">
        <f t="shared" si="33"/>
        <v>861070</v>
      </c>
      <c r="AN20" s="48">
        <f t="shared" si="33"/>
        <v>1030689</v>
      </c>
      <c r="AO20" s="48">
        <f t="shared" si="33"/>
        <v>26869</v>
      </c>
      <c r="AP20" s="48">
        <f t="shared" si="33"/>
        <v>73544</v>
      </c>
      <c r="AQ20" s="48">
        <f t="shared" si="33"/>
        <v>100413</v>
      </c>
      <c r="AR20" s="48">
        <f t="shared" si="33"/>
        <v>69176.17</v>
      </c>
      <c r="AS20" s="48">
        <f t="shared" si="33"/>
        <v>177411.24</v>
      </c>
      <c r="AT20" s="48">
        <f t="shared" si="33"/>
        <v>246587.40999999997</v>
      </c>
      <c r="AU20" s="48">
        <f t="shared" si="33"/>
        <v>38867.270000000004</v>
      </c>
      <c r="AV20" s="48">
        <f t="shared" si="33"/>
        <v>267790.65000000002</v>
      </c>
      <c r="AW20" s="48">
        <f t="shared" si="33"/>
        <v>306657.92000000004</v>
      </c>
      <c r="AX20" s="48">
        <f t="shared" si="33"/>
        <v>19077.46</v>
      </c>
      <c r="AY20" s="48">
        <f t="shared" si="33"/>
        <v>45243.35</v>
      </c>
      <c r="AZ20" s="48">
        <f t="shared" si="33"/>
        <v>64320.81</v>
      </c>
      <c r="BA20" s="48">
        <f t="shared" si="33"/>
        <v>56494.899999999994</v>
      </c>
      <c r="BB20" s="48">
        <f t="shared" si="33"/>
        <v>91641.37</v>
      </c>
      <c r="BC20" s="48">
        <f t="shared" si="33"/>
        <v>148136.26999999999</v>
      </c>
      <c r="BD20" s="48">
        <f t="shared" si="33"/>
        <v>6903.43</v>
      </c>
      <c r="BE20" s="48">
        <f t="shared" si="33"/>
        <v>2570337.3500000006</v>
      </c>
      <c r="BF20" s="48">
        <f t="shared" si="33"/>
        <v>2577240.7800000003</v>
      </c>
      <c r="BG20" s="48">
        <f t="shared" si="33"/>
        <v>20339</v>
      </c>
      <c r="BH20" s="48">
        <f t="shared" si="33"/>
        <v>28479</v>
      </c>
      <c r="BI20" s="48">
        <f t="shared" si="33"/>
        <v>48818</v>
      </c>
      <c r="BJ20" s="48">
        <f t="shared" si="33"/>
        <v>17362</v>
      </c>
      <c r="BK20" s="48">
        <f t="shared" si="33"/>
        <v>48178</v>
      </c>
      <c r="BL20" s="48">
        <f t="shared" si="33"/>
        <v>65540</v>
      </c>
      <c r="BM20" s="48">
        <f t="shared" si="33"/>
        <v>162695</v>
      </c>
      <c r="BN20" s="48">
        <f t="shared" ref="BN20:CP20" si="34">SUM(BN6:BN19)</f>
        <v>888816</v>
      </c>
      <c r="BO20" s="48">
        <f t="shared" si="34"/>
        <v>1051511</v>
      </c>
      <c r="BP20" s="48">
        <f t="shared" si="34"/>
        <v>100374.32</v>
      </c>
      <c r="BQ20" s="48">
        <f t="shared" si="34"/>
        <v>455631.07999999996</v>
      </c>
      <c r="BR20" s="48">
        <f t="shared" si="34"/>
        <v>556005.4</v>
      </c>
      <c r="BS20" s="48">
        <f t="shared" si="34"/>
        <v>226459</v>
      </c>
      <c r="BT20" s="48">
        <f t="shared" si="34"/>
        <v>586228</v>
      </c>
      <c r="BU20" s="48">
        <f t="shared" si="34"/>
        <v>812687</v>
      </c>
      <c r="BV20" s="48">
        <f t="shared" si="34"/>
        <v>179216</v>
      </c>
      <c r="BW20" s="48">
        <f t="shared" si="34"/>
        <v>857417</v>
      </c>
      <c r="BX20" s="48">
        <f t="shared" si="34"/>
        <v>1036633</v>
      </c>
      <c r="BY20" s="48">
        <f t="shared" si="34"/>
        <v>281828</v>
      </c>
      <c r="BZ20" s="48">
        <f t="shared" si="34"/>
        <v>475780</v>
      </c>
      <c r="CA20" s="48">
        <f t="shared" si="34"/>
        <v>757608</v>
      </c>
      <c r="CB20" s="48">
        <f t="shared" si="34"/>
        <v>304755</v>
      </c>
      <c r="CC20" s="48">
        <f t="shared" si="34"/>
        <v>1297580</v>
      </c>
      <c r="CD20" s="48">
        <f t="shared" si="34"/>
        <v>1602335</v>
      </c>
      <c r="CE20" s="48">
        <f t="shared" si="34"/>
        <v>2061326.29</v>
      </c>
      <c r="CF20" s="48">
        <f t="shared" si="34"/>
        <v>4747739.3</v>
      </c>
      <c r="CG20" s="48">
        <f t="shared" si="34"/>
        <v>6809065.5899999999</v>
      </c>
      <c r="CH20" s="48">
        <f t="shared" si="34"/>
        <v>94098</v>
      </c>
      <c r="CI20" s="48">
        <f t="shared" si="34"/>
        <v>2321509</v>
      </c>
      <c r="CJ20" s="48">
        <f t="shared" si="34"/>
        <v>2415607</v>
      </c>
      <c r="CK20" s="48">
        <f t="shared" si="34"/>
        <v>321484</v>
      </c>
      <c r="CL20" s="48">
        <f t="shared" si="34"/>
        <v>3051914</v>
      </c>
      <c r="CM20" s="48">
        <f t="shared" si="34"/>
        <v>3373398</v>
      </c>
      <c r="CN20" s="48">
        <f t="shared" si="34"/>
        <v>59130</v>
      </c>
      <c r="CO20" s="48">
        <f t="shared" si="34"/>
        <v>192293</v>
      </c>
      <c r="CP20" s="48">
        <f t="shared" si="34"/>
        <v>251423</v>
      </c>
    </row>
    <row r="21" spans="1:94" ht="15" customHeight="1" x14ac:dyDescent="0.25">
      <c r="A21" s="45" t="s">
        <v>166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</row>
    <row r="22" spans="1:94" ht="30" x14ac:dyDescent="0.25">
      <c r="A22" s="47" t="s">
        <v>155</v>
      </c>
      <c r="B22" s="46">
        <v>531</v>
      </c>
      <c r="C22" s="46">
        <v>1526</v>
      </c>
      <c r="D22" s="46">
        <f t="shared" ref="D22:D35" si="35">B22+C22</f>
        <v>2057</v>
      </c>
      <c r="E22" s="46"/>
      <c r="F22" s="46"/>
      <c r="G22" s="46">
        <f t="shared" ref="G22:G35" si="36">F22+E22</f>
        <v>0</v>
      </c>
      <c r="H22" s="46">
        <v>7417</v>
      </c>
      <c r="I22" s="46">
        <v>26418</v>
      </c>
      <c r="J22" s="46">
        <f t="shared" ref="J22:J35" si="37">I22+H22</f>
        <v>33835</v>
      </c>
      <c r="K22" s="46"/>
      <c r="L22" s="46">
        <v>16887</v>
      </c>
      <c r="M22" s="46">
        <f t="shared" ref="M22:M35" si="38">L22+K22</f>
        <v>16887</v>
      </c>
      <c r="N22" s="46">
        <v>1503.43</v>
      </c>
      <c r="O22" s="46">
        <v>5524.08</v>
      </c>
      <c r="P22" s="46">
        <f t="shared" ref="P22:P35" si="39">O22+N22</f>
        <v>7027.51</v>
      </c>
      <c r="Q22" s="46"/>
      <c r="R22" s="46"/>
      <c r="S22" s="46">
        <f t="shared" ref="S22:S35" si="40">R22+Q22</f>
        <v>0</v>
      </c>
      <c r="T22" s="46">
        <v>11905.28</v>
      </c>
      <c r="U22" s="46">
        <v>14550.89</v>
      </c>
      <c r="V22" s="46">
        <f t="shared" ref="V22:V35" si="41">U22+T22</f>
        <v>26456.17</v>
      </c>
      <c r="W22" s="46"/>
      <c r="X22" s="46"/>
      <c r="Y22" s="46">
        <f t="shared" ref="Y22:Y35" si="42">X22+W22</f>
        <v>0</v>
      </c>
      <c r="Z22" s="46">
        <v>1709.48</v>
      </c>
      <c r="AA22" s="46">
        <v>5969.23</v>
      </c>
      <c r="AB22" s="46">
        <f t="shared" ref="AB22:AB35" si="43">AA22+Z22</f>
        <v>7678.7099999999991</v>
      </c>
      <c r="AC22" s="46"/>
      <c r="AD22" s="46">
        <v>7584</v>
      </c>
      <c r="AE22" s="46">
        <f t="shared" ref="AE22:AE35" si="44">AD22+AC22</f>
        <v>7584</v>
      </c>
      <c r="AF22" s="46">
        <v>8944</v>
      </c>
      <c r="AG22" s="46">
        <v>34712</v>
      </c>
      <c r="AH22" s="46">
        <f t="shared" ref="AH22:AH35" si="45">AG22+AF22</f>
        <v>43656</v>
      </c>
      <c r="AI22" s="46">
        <v>4653</v>
      </c>
      <c r="AJ22" s="46">
        <v>15423</v>
      </c>
      <c r="AK22" s="46">
        <f t="shared" ref="AK22:AK35" si="46">AJ22+AI22</f>
        <v>20076</v>
      </c>
      <c r="AL22" s="46">
        <v>14101</v>
      </c>
      <c r="AM22" s="46">
        <v>71582</v>
      </c>
      <c r="AN22" s="46">
        <f t="shared" ref="AN22:AN35" si="47">AM22+AL22</f>
        <v>85683</v>
      </c>
      <c r="AO22" s="46">
        <v>269</v>
      </c>
      <c r="AP22" s="46">
        <v>735</v>
      </c>
      <c r="AQ22" s="46">
        <f t="shared" ref="AQ22:AQ35" si="48">AP22+AO22</f>
        <v>1004</v>
      </c>
      <c r="AR22" s="46">
        <v>2392.59</v>
      </c>
      <c r="AS22" s="46">
        <v>6136.12</v>
      </c>
      <c r="AT22" s="46">
        <f t="shared" ref="AT22:AT35" si="49">AS22+AR22</f>
        <v>8528.7099999999991</v>
      </c>
      <c r="AU22" s="46"/>
      <c r="AV22" s="46"/>
      <c r="AW22" s="46">
        <f t="shared" ref="AW22:AW35" si="50">AV22+AU22</f>
        <v>0</v>
      </c>
      <c r="AX22" s="46">
        <v>1506.82</v>
      </c>
      <c r="AY22" s="46">
        <v>2511.94</v>
      </c>
      <c r="AZ22" s="46">
        <f t="shared" ref="AZ22:AZ35" si="51">AY22+AX22</f>
        <v>4018.76</v>
      </c>
      <c r="BA22" s="46"/>
      <c r="BB22" s="46">
        <v>1037.6500000000001</v>
      </c>
      <c r="BC22" s="46">
        <f t="shared" ref="BC22:BC35" si="52">BB22+BA22</f>
        <v>1037.6500000000001</v>
      </c>
      <c r="BD22" s="46">
        <v>392.37</v>
      </c>
      <c r="BE22" s="46">
        <v>146089.71</v>
      </c>
      <c r="BF22" s="46">
        <f t="shared" ref="BF22:BF35" si="53">BE22+BD22</f>
        <v>146482.07999999999</v>
      </c>
      <c r="BG22" s="46"/>
      <c r="BH22" s="46">
        <v>2482</v>
      </c>
      <c r="BI22" s="46">
        <f t="shared" ref="BI22:BI35" si="54">BH22+BG22</f>
        <v>2482</v>
      </c>
      <c r="BJ22" s="46">
        <v>398</v>
      </c>
      <c r="BK22" s="46">
        <v>1104</v>
      </c>
      <c r="BL22" s="46">
        <f t="shared" ref="BL22" si="55">BK22+BJ22</f>
        <v>1502</v>
      </c>
      <c r="BM22" s="46"/>
      <c r="BN22" s="46"/>
      <c r="BO22" s="46">
        <f t="shared" ref="BO22:BO35" si="56">BN22+BM22</f>
        <v>0</v>
      </c>
      <c r="BP22" s="46">
        <v>466.58</v>
      </c>
      <c r="BQ22" s="46">
        <v>2117.94</v>
      </c>
      <c r="BR22" s="46">
        <f t="shared" ref="BR22:BR35" si="57">BQ22+BP22</f>
        <v>2584.52</v>
      </c>
      <c r="BS22" s="46"/>
      <c r="BT22" s="46">
        <v>25174</v>
      </c>
      <c r="BU22" s="46">
        <f t="shared" ref="BU22:BU35" si="58">BT22+BS22</f>
        <v>25174</v>
      </c>
      <c r="BV22" s="46">
        <v>2495</v>
      </c>
      <c r="BW22" s="46">
        <v>5990</v>
      </c>
      <c r="BX22" s="46">
        <f t="shared" ref="BX22:BX23" si="59">BW22+BV22</f>
        <v>8485</v>
      </c>
      <c r="BY22" s="46">
        <v>6874</v>
      </c>
      <c r="BZ22" s="46">
        <v>11605</v>
      </c>
      <c r="CA22" s="46">
        <f t="shared" ref="CA22:CA35" si="60">BZ22+BY22</f>
        <v>18479</v>
      </c>
      <c r="CB22" s="46"/>
      <c r="CC22" s="46"/>
      <c r="CD22" s="46">
        <f t="shared" ref="CD22:CD35" si="61">CC22+CB22</f>
        <v>0</v>
      </c>
      <c r="CE22" s="46">
        <v>65225.18</v>
      </c>
      <c r="CF22" s="46">
        <v>157196.85999999999</v>
      </c>
      <c r="CG22" s="46">
        <f t="shared" ref="CG22:CG35" si="62">CF22+CE22</f>
        <v>222422.03999999998</v>
      </c>
      <c r="CH22" s="46">
        <v>2550</v>
      </c>
      <c r="CI22" s="46">
        <v>51244</v>
      </c>
      <c r="CJ22" s="46">
        <f t="shared" ref="CJ22:CJ35" si="63">CI22+CH22</f>
        <v>53794</v>
      </c>
      <c r="CK22" s="46">
        <v>11586</v>
      </c>
      <c r="CL22" s="46">
        <v>109980</v>
      </c>
      <c r="CM22" s="46">
        <f t="shared" ref="CM22:CM35" si="64">CL22+CK22</f>
        <v>121566</v>
      </c>
      <c r="CN22" s="46">
        <v>4276</v>
      </c>
      <c r="CO22" s="46">
        <v>13906</v>
      </c>
      <c r="CP22" s="46">
        <f t="shared" ref="CP22" si="65">CO22+CN22</f>
        <v>18182</v>
      </c>
    </row>
    <row r="23" spans="1:94" ht="15" customHeight="1" x14ac:dyDescent="0.25">
      <c r="A23" s="47" t="s">
        <v>156</v>
      </c>
      <c r="B23" s="46"/>
      <c r="C23" s="46"/>
      <c r="D23" s="46">
        <f t="shared" si="35"/>
        <v>0</v>
      </c>
      <c r="E23" s="46"/>
      <c r="F23" s="46"/>
      <c r="G23" s="46">
        <f t="shared" si="36"/>
        <v>0</v>
      </c>
      <c r="H23" s="46">
        <v>2009</v>
      </c>
      <c r="I23" s="46">
        <v>7155</v>
      </c>
      <c r="J23" s="46">
        <f t="shared" si="37"/>
        <v>9164</v>
      </c>
      <c r="K23" s="46"/>
      <c r="L23" s="46"/>
      <c r="M23" s="46">
        <f t="shared" si="38"/>
        <v>0</v>
      </c>
      <c r="N23" s="46">
        <v>502.18</v>
      </c>
      <c r="O23" s="46">
        <v>1502.12</v>
      </c>
      <c r="P23" s="46">
        <f t="shared" si="39"/>
        <v>2004.3</v>
      </c>
      <c r="Q23" s="46"/>
      <c r="R23" s="46"/>
      <c r="S23" s="46">
        <f t="shared" si="40"/>
        <v>0</v>
      </c>
      <c r="T23" s="46"/>
      <c r="U23" s="46"/>
      <c r="V23" s="46">
        <f t="shared" si="41"/>
        <v>0</v>
      </c>
      <c r="W23" s="46">
        <v>436</v>
      </c>
      <c r="X23" s="46">
        <v>337</v>
      </c>
      <c r="Y23" s="46">
        <f t="shared" si="42"/>
        <v>773</v>
      </c>
      <c r="Z23" s="46"/>
      <c r="AA23" s="46"/>
      <c r="AB23" s="46">
        <f t="shared" si="43"/>
        <v>0</v>
      </c>
      <c r="AC23" s="46">
        <v>2020</v>
      </c>
      <c r="AD23" s="46">
        <v>4015</v>
      </c>
      <c r="AE23" s="46">
        <f t="shared" si="44"/>
        <v>6035</v>
      </c>
      <c r="AF23" s="46">
        <v>459</v>
      </c>
      <c r="AG23" s="46">
        <v>1780</v>
      </c>
      <c r="AH23" s="46">
        <f t="shared" si="45"/>
        <v>2239</v>
      </c>
      <c r="AI23" s="46">
        <v>9060</v>
      </c>
      <c r="AJ23" s="46">
        <v>30031</v>
      </c>
      <c r="AK23" s="46">
        <f t="shared" si="46"/>
        <v>39091</v>
      </c>
      <c r="AL23" s="46">
        <v>21213</v>
      </c>
      <c r="AM23" s="46">
        <v>107689</v>
      </c>
      <c r="AN23" s="46">
        <f t="shared" si="47"/>
        <v>128902</v>
      </c>
      <c r="AO23" s="46"/>
      <c r="AP23" s="46"/>
      <c r="AQ23" s="46">
        <f t="shared" si="48"/>
        <v>0</v>
      </c>
      <c r="AR23" s="46">
        <v>1548.3</v>
      </c>
      <c r="AS23" s="46">
        <v>3970.81</v>
      </c>
      <c r="AT23" s="46">
        <f t="shared" si="49"/>
        <v>5519.11</v>
      </c>
      <c r="AU23" s="46"/>
      <c r="AV23" s="46"/>
      <c r="AW23" s="46">
        <f t="shared" si="50"/>
        <v>0</v>
      </c>
      <c r="AX23" s="46"/>
      <c r="AY23" s="46">
        <v>2517.8000000000002</v>
      </c>
      <c r="AZ23" s="46">
        <f t="shared" si="51"/>
        <v>2517.8000000000002</v>
      </c>
      <c r="BA23" s="46"/>
      <c r="BB23" s="46">
        <v>1500.71</v>
      </c>
      <c r="BC23" s="46">
        <f t="shared" si="52"/>
        <v>1500.71</v>
      </c>
      <c r="BD23" s="46"/>
      <c r="BE23" s="46"/>
      <c r="BF23" s="46">
        <f t="shared" si="53"/>
        <v>0</v>
      </c>
      <c r="BG23" s="46"/>
      <c r="BH23" s="46"/>
      <c r="BI23" s="46">
        <f t="shared" si="54"/>
        <v>0</v>
      </c>
      <c r="BJ23" s="46"/>
      <c r="BK23" s="46"/>
      <c r="BL23" s="46">
        <f t="shared" ref="BL23:BL35" si="66">BK23+BJ23</f>
        <v>0</v>
      </c>
      <c r="BM23" s="46">
        <v>1203</v>
      </c>
      <c r="BN23" s="46">
        <v>6569</v>
      </c>
      <c r="BO23" s="46">
        <f t="shared" si="56"/>
        <v>7772</v>
      </c>
      <c r="BP23" s="46"/>
      <c r="BQ23" s="46"/>
      <c r="BR23" s="46">
        <f t="shared" si="57"/>
        <v>0</v>
      </c>
      <c r="BS23" s="46"/>
      <c r="BT23" s="46">
        <v>4834</v>
      </c>
      <c r="BU23" s="46">
        <f t="shared" si="58"/>
        <v>4834</v>
      </c>
      <c r="BV23" s="46">
        <v>9</v>
      </c>
      <c r="BW23" s="46">
        <v>11715</v>
      </c>
      <c r="BX23" s="46">
        <f t="shared" si="59"/>
        <v>11724</v>
      </c>
      <c r="BY23" s="46">
        <v>4981</v>
      </c>
      <c r="BZ23" s="46">
        <v>8408</v>
      </c>
      <c r="CA23" s="46">
        <f t="shared" si="60"/>
        <v>13389</v>
      </c>
      <c r="CB23" s="46"/>
      <c r="CC23" s="46"/>
      <c r="CD23" s="46">
        <f t="shared" si="61"/>
        <v>0</v>
      </c>
      <c r="CE23" s="46"/>
      <c r="CF23" s="46"/>
      <c r="CG23" s="46">
        <f t="shared" si="62"/>
        <v>0</v>
      </c>
      <c r="CH23" s="46"/>
      <c r="CI23" s="46"/>
      <c r="CJ23" s="46">
        <f t="shared" si="63"/>
        <v>0</v>
      </c>
      <c r="CK23" s="46"/>
      <c r="CL23" s="46"/>
      <c r="CM23" s="46"/>
      <c r="CN23" s="46"/>
      <c r="CO23" s="46"/>
      <c r="CP23" s="46">
        <f t="shared" ref="CP23:CP35" si="67">CO23+CN23</f>
        <v>0</v>
      </c>
    </row>
    <row r="24" spans="1:94" ht="15" customHeight="1" x14ac:dyDescent="0.25">
      <c r="A24" s="47" t="s">
        <v>157</v>
      </c>
      <c r="B24" s="46"/>
      <c r="C24" s="46"/>
      <c r="D24" s="46">
        <f t="shared" si="35"/>
        <v>0</v>
      </c>
      <c r="E24" s="46"/>
      <c r="F24" s="46"/>
      <c r="G24" s="46">
        <f t="shared" si="36"/>
        <v>0</v>
      </c>
      <c r="H24" s="46"/>
      <c r="I24" s="46"/>
      <c r="J24" s="46">
        <f t="shared" si="37"/>
        <v>0</v>
      </c>
      <c r="K24" s="46"/>
      <c r="L24" s="46"/>
      <c r="M24" s="46">
        <f t="shared" si="38"/>
        <v>0</v>
      </c>
      <c r="N24" s="46"/>
      <c r="O24" s="46"/>
      <c r="P24" s="46">
        <f t="shared" si="39"/>
        <v>0</v>
      </c>
      <c r="Q24" s="46"/>
      <c r="R24" s="46"/>
      <c r="S24" s="46">
        <f t="shared" si="40"/>
        <v>0</v>
      </c>
      <c r="T24" s="46"/>
      <c r="U24" s="46"/>
      <c r="V24" s="46">
        <f t="shared" si="41"/>
        <v>0</v>
      </c>
      <c r="W24" s="46"/>
      <c r="X24" s="46"/>
      <c r="Y24" s="46">
        <f t="shared" si="42"/>
        <v>0</v>
      </c>
      <c r="Z24" s="46"/>
      <c r="AA24" s="46"/>
      <c r="AB24" s="46">
        <f t="shared" si="43"/>
        <v>0</v>
      </c>
      <c r="AC24" s="46"/>
      <c r="AD24" s="46"/>
      <c r="AE24" s="46">
        <f t="shared" si="44"/>
        <v>0</v>
      </c>
      <c r="AF24" s="46"/>
      <c r="AG24" s="46"/>
      <c r="AH24" s="46">
        <f t="shared" si="45"/>
        <v>0</v>
      </c>
      <c r="AI24" s="46"/>
      <c r="AJ24" s="46"/>
      <c r="AK24" s="46">
        <f t="shared" si="46"/>
        <v>0</v>
      </c>
      <c r="AL24" s="46"/>
      <c r="AM24" s="46"/>
      <c r="AN24" s="46">
        <f t="shared" si="47"/>
        <v>0</v>
      </c>
      <c r="AO24" s="46"/>
      <c r="AP24" s="46"/>
      <c r="AQ24" s="46">
        <f t="shared" si="48"/>
        <v>0</v>
      </c>
      <c r="AR24" s="46"/>
      <c r="AS24" s="46"/>
      <c r="AT24" s="46">
        <f t="shared" si="49"/>
        <v>0</v>
      </c>
      <c r="AU24" s="46"/>
      <c r="AV24" s="46"/>
      <c r="AW24" s="46">
        <f t="shared" si="50"/>
        <v>0</v>
      </c>
      <c r="AX24" s="46"/>
      <c r="AY24" s="46"/>
      <c r="AZ24" s="46">
        <f t="shared" si="51"/>
        <v>0</v>
      </c>
      <c r="BA24" s="46"/>
      <c r="BB24" s="46"/>
      <c r="BC24" s="46">
        <f t="shared" si="52"/>
        <v>0</v>
      </c>
      <c r="BD24" s="46"/>
      <c r="BE24" s="46"/>
      <c r="BF24" s="46">
        <f t="shared" si="53"/>
        <v>0</v>
      </c>
      <c r="BG24" s="46"/>
      <c r="BH24" s="46"/>
      <c r="BI24" s="46">
        <f t="shared" si="54"/>
        <v>0</v>
      </c>
      <c r="BJ24" s="46"/>
      <c r="BK24" s="46"/>
      <c r="BL24" s="46">
        <f t="shared" si="66"/>
        <v>0</v>
      </c>
      <c r="BM24" s="46"/>
      <c r="BN24" s="46"/>
      <c r="BO24" s="46">
        <f t="shared" si="56"/>
        <v>0</v>
      </c>
      <c r="BP24" s="46"/>
      <c r="BQ24" s="46"/>
      <c r="BR24" s="46">
        <f t="shared" si="57"/>
        <v>0</v>
      </c>
      <c r="BS24" s="46"/>
      <c r="BT24" s="46"/>
      <c r="BU24" s="46">
        <f t="shared" si="58"/>
        <v>0</v>
      </c>
      <c r="BV24" s="46"/>
      <c r="BW24" s="46"/>
      <c r="BX24" s="46">
        <f t="shared" ref="BX24:BX34" si="68">BW24+BV24</f>
        <v>0</v>
      </c>
      <c r="BY24" s="46"/>
      <c r="BZ24" s="46"/>
      <c r="CA24" s="46">
        <f t="shared" si="60"/>
        <v>0</v>
      </c>
      <c r="CB24" s="46"/>
      <c r="CC24" s="46"/>
      <c r="CD24" s="46">
        <f t="shared" si="61"/>
        <v>0</v>
      </c>
      <c r="CE24" s="46"/>
      <c r="CF24" s="46"/>
      <c r="CG24" s="46">
        <f t="shared" si="62"/>
        <v>0</v>
      </c>
      <c r="CH24" s="46"/>
      <c r="CI24" s="46"/>
      <c r="CJ24" s="46">
        <f t="shared" si="63"/>
        <v>0</v>
      </c>
      <c r="CK24" s="46"/>
      <c r="CL24" s="46"/>
      <c r="CM24" s="46">
        <f t="shared" si="64"/>
        <v>0</v>
      </c>
      <c r="CN24" s="46"/>
      <c r="CO24" s="46"/>
      <c r="CP24" s="46">
        <f t="shared" si="67"/>
        <v>0</v>
      </c>
    </row>
    <row r="25" spans="1:94" ht="15" customHeight="1" x14ac:dyDescent="0.25">
      <c r="A25" s="47" t="s">
        <v>158</v>
      </c>
      <c r="B25" s="46"/>
      <c r="C25" s="46"/>
      <c r="D25" s="46">
        <f t="shared" si="35"/>
        <v>0</v>
      </c>
      <c r="E25" s="46"/>
      <c r="F25" s="46"/>
      <c r="G25" s="46">
        <f t="shared" si="36"/>
        <v>0</v>
      </c>
      <c r="H25" s="46"/>
      <c r="I25" s="46"/>
      <c r="J25" s="46">
        <f t="shared" si="37"/>
        <v>0</v>
      </c>
      <c r="K25" s="46"/>
      <c r="L25" s="46"/>
      <c r="M25" s="46">
        <f t="shared" si="38"/>
        <v>0</v>
      </c>
      <c r="N25" s="46"/>
      <c r="O25" s="46"/>
      <c r="P25" s="46">
        <f t="shared" si="39"/>
        <v>0</v>
      </c>
      <c r="Q25" s="46"/>
      <c r="R25" s="46"/>
      <c r="S25" s="46">
        <f t="shared" si="40"/>
        <v>0</v>
      </c>
      <c r="T25" s="46"/>
      <c r="U25" s="46"/>
      <c r="V25" s="46">
        <f t="shared" si="41"/>
        <v>0</v>
      </c>
      <c r="W25" s="46"/>
      <c r="X25" s="46"/>
      <c r="Y25" s="46">
        <f t="shared" si="42"/>
        <v>0</v>
      </c>
      <c r="Z25" s="46"/>
      <c r="AA25" s="46"/>
      <c r="AB25" s="46">
        <f t="shared" si="43"/>
        <v>0</v>
      </c>
      <c r="AC25" s="46"/>
      <c r="AD25" s="46"/>
      <c r="AE25" s="46">
        <f t="shared" si="44"/>
        <v>0</v>
      </c>
      <c r="AF25" s="46"/>
      <c r="AG25" s="46"/>
      <c r="AH25" s="46">
        <f t="shared" si="45"/>
        <v>0</v>
      </c>
      <c r="AI25" s="46"/>
      <c r="AJ25" s="46"/>
      <c r="AK25" s="46">
        <f t="shared" si="46"/>
        <v>0</v>
      </c>
      <c r="AL25" s="46"/>
      <c r="AM25" s="46"/>
      <c r="AN25" s="46">
        <f t="shared" si="47"/>
        <v>0</v>
      </c>
      <c r="AO25" s="46"/>
      <c r="AP25" s="46"/>
      <c r="AQ25" s="46">
        <f t="shared" si="48"/>
        <v>0</v>
      </c>
      <c r="AR25" s="46"/>
      <c r="AS25" s="46"/>
      <c r="AT25" s="46">
        <f t="shared" si="49"/>
        <v>0</v>
      </c>
      <c r="AU25" s="46"/>
      <c r="AV25" s="46"/>
      <c r="AW25" s="46">
        <f t="shared" si="50"/>
        <v>0</v>
      </c>
      <c r="AX25" s="46"/>
      <c r="AY25" s="46"/>
      <c r="AZ25" s="46">
        <f t="shared" si="51"/>
        <v>0</v>
      </c>
      <c r="BA25" s="46"/>
      <c r="BB25" s="46"/>
      <c r="BC25" s="46">
        <f t="shared" si="52"/>
        <v>0</v>
      </c>
      <c r="BD25" s="46"/>
      <c r="BE25" s="46"/>
      <c r="BF25" s="46">
        <f t="shared" si="53"/>
        <v>0</v>
      </c>
      <c r="BG25" s="46"/>
      <c r="BH25" s="46"/>
      <c r="BI25" s="46">
        <f t="shared" si="54"/>
        <v>0</v>
      </c>
      <c r="BJ25" s="46"/>
      <c r="BK25" s="46"/>
      <c r="BL25" s="46">
        <f t="shared" si="66"/>
        <v>0</v>
      </c>
      <c r="BM25" s="46"/>
      <c r="BN25" s="46"/>
      <c r="BO25" s="46">
        <f t="shared" si="56"/>
        <v>0</v>
      </c>
      <c r="BP25" s="46"/>
      <c r="BQ25" s="46"/>
      <c r="BR25" s="46">
        <f t="shared" si="57"/>
        <v>0</v>
      </c>
      <c r="BS25" s="46"/>
      <c r="BT25" s="46"/>
      <c r="BU25" s="46">
        <f t="shared" si="58"/>
        <v>0</v>
      </c>
      <c r="BV25" s="46"/>
      <c r="BW25" s="46"/>
      <c r="BX25" s="46">
        <f t="shared" si="68"/>
        <v>0</v>
      </c>
      <c r="BY25" s="46"/>
      <c r="BZ25" s="46"/>
      <c r="CA25" s="46">
        <f t="shared" si="60"/>
        <v>0</v>
      </c>
      <c r="CB25" s="46"/>
      <c r="CC25" s="46"/>
      <c r="CD25" s="46">
        <f t="shared" si="61"/>
        <v>0</v>
      </c>
      <c r="CE25" s="46"/>
      <c r="CF25" s="46"/>
      <c r="CG25" s="46">
        <f t="shared" si="62"/>
        <v>0</v>
      </c>
      <c r="CH25" s="46"/>
      <c r="CI25" s="46"/>
      <c r="CJ25" s="46">
        <f t="shared" si="63"/>
        <v>0</v>
      </c>
      <c r="CK25" s="46"/>
      <c r="CL25" s="46"/>
      <c r="CM25" s="46">
        <f t="shared" si="64"/>
        <v>0</v>
      </c>
      <c r="CN25" s="46"/>
      <c r="CO25" s="46"/>
      <c r="CP25" s="46">
        <f t="shared" si="67"/>
        <v>0</v>
      </c>
    </row>
    <row r="26" spans="1:94" ht="15" customHeight="1" x14ac:dyDescent="0.25">
      <c r="A26" s="47" t="s">
        <v>159</v>
      </c>
      <c r="B26" s="46"/>
      <c r="C26" s="46"/>
      <c r="D26" s="46">
        <f t="shared" si="35"/>
        <v>0</v>
      </c>
      <c r="E26" s="46"/>
      <c r="F26" s="46"/>
      <c r="G26" s="46">
        <f t="shared" si="36"/>
        <v>0</v>
      </c>
      <c r="H26" s="46"/>
      <c r="I26" s="46"/>
      <c r="J26" s="46">
        <f t="shared" si="37"/>
        <v>0</v>
      </c>
      <c r="K26" s="46"/>
      <c r="L26" s="46"/>
      <c r="M26" s="46">
        <f t="shared" si="38"/>
        <v>0</v>
      </c>
      <c r="N26" s="46"/>
      <c r="O26" s="46"/>
      <c r="P26" s="46">
        <f t="shared" si="39"/>
        <v>0</v>
      </c>
      <c r="Q26" s="46"/>
      <c r="R26" s="46"/>
      <c r="S26" s="46">
        <f t="shared" si="40"/>
        <v>0</v>
      </c>
      <c r="T26" s="46"/>
      <c r="U26" s="46"/>
      <c r="V26" s="46">
        <f t="shared" si="41"/>
        <v>0</v>
      </c>
      <c r="W26" s="46">
        <v>2070</v>
      </c>
      <c r="X26" s="46"/>
      <c r="Y26" s="46">
        <f t="shared" si="42"/>
        <v>2070</v>
      </c>
      <c r="Z26" s="46"/>
      <c r="AA26" s="46"/>
      <c r="AB26" s="46">
        <f t="shared" si="43"/>
        <v>0</v>
      </c>
      <c r="AC26" s="46">
        <v>3066</v>
      </c>
      <c r="AD26" s="46">
        <v>13796</v>
      </c>
      <c r="AE26" s="46">
        <f t="shared" si="44"/>
        <v>16862</v>
      </c>
      <c r="AF26" s="46">
        <v>929</v>
      </c>
      <c r="AG26" s="46">
        <v>3604</v>
      </c>
      <c r="AH26" s="46">
        <f t="shared" si="45"/>
        <v>4533</v>
      </c>
      <c r="AI26" s="46"/>
      <c r="AJ26" s="46"/>
      <c r="AK26" s="46">
        <f t="shared" si="46"/>
        <v>0</v>
      </c>
      <c r="AL26" s="46"/>
      <c r="AM26" s="46"/>
      <c r="AN26" s="46">
        <f t="shared" si="47"/>
        <v>0</v>
      </c>
      <c r="AO26" s="46"/>
      <c r="AP26" s="46"/>
      <c r="AQ26" s="46">
        <f t="shared" si="48"/>
        <v>0</v>
      </c>
      <c r="AR26" s="46"/>
      <c r="AS26" s="46"/>
      <c r="AT26" s="46">
        <f t="shared" si="49"/>
        <v>0</v>
      </c>
      <c r="AU26" s="46"/>
      <c r="AV26" s="46"/>
      <c r="AW26" s="46">
        <f t="shared" si="50"/>
        <v>0</v>
      </c>
      <c r="AX26" s="46"/>
      <c r="AY26" s="46"/>
      <c r="AZ26" s="46">
        <f t="shared" si="51"/>
        <v>0</v>
      </c>
      <c r="BA26" s="46">
        <v>231</v>
      </c>
      <c r="BB26" s="46"/>
      <c r="BC26" s="46">
        <f t="shared" si="52"/>
        <v>231</v>
      </c>
      <c r="BD26" s="46"/>
      <c r="BE26" s="46"/>
      <c r="BF26" s="46">
        <f t="shared" si="53"/>
        <v>0</v>
      </c>
      <c r="BG26" s="46"/>
      <c r="BH26" s="46"/>
      <c r="BI26" s="46">
        <f t="shared" si="54"/>
        <v>0</v>
      </c>
      <c r="BJ26" s="46"/>
      <c r="BK26" s="46"/>
      <c r="BL26" s="46">
        <f t="shared" si="66"/>
        <v>0</v>
      </c>
      <c r="BM26" s="46">
        <v>4964</v>
      </c>
      <c r="BN26" s="46">
        <v>27118</v>
      </c>
      <c r="BO26" s="46">
        <f t="shared" si="56"/>
        <v>32082</v>
      </c>
      <c r="BP26" s="46">
        <v>8640.73</v>
      </c>
      <c r="BQ26" s="46">
        <v>39223.03</v>
      </c>
      <c r="BR26" s="46">
        <f t="shared" si="57"/>
        <v>47863.759999999995</v>
      </c>
      <c r="BS26" s="46"/>
      <c r="BT26" s="46"/>
      <c r="BU26" s="46">
        <f t="shared" si="58"/>
        <v>0</v>
      </c>
      <c r="BV26" s="46"/>
      <c r="BW26" s="46"/>
      <c r="BX26" s="46">
        <f t="shared" si="68"/>
        <v>0</v>
      </c>
      <c r="BY26" s="46"/>
      <c r="BZ26" s="46"/>
      <c r="CA26" s="46">
        <f t="shared" si="60"/>
        <v>0</v>
      </c>
      <c r="CB26" s="46"/>
      <c r="CC26" s="46"/>
      <c r="CD26" s="46">
        <f t="shared" si="61"/>
        <v>0</v>
      </c>
      <c r="CE26" s="46"/>
      <c r="CF26" s="46"/>
      <c r="CG26" s="46">
        <f t="shared" si="62"/>
        <v>0</v>
      </c>
      <c r="CH26" s="46"/>
      <c r="CI26" s="46"/>
      <c r="CJ26" s="46">
        <f t="shared" si="63"/>
        <v>0</v>
      </c>
      <c r="CK26" s="46"/>
      <c r="CL26" s="46"/>
      <c r="CM26" s="46">
        <f t="shared" si="64"/>
        <v>0</v>
      </c>
      <c r="CN26" s="46">
        <v>1006</v>
      </c>
      <c r="CO26" s="46">
        <v>3271</v>
      </c>
      <c r="CP26" s="46">
        <f t="shared" si="67"/>
        <v>4277</v>
      </c>
    </row>
    <row r="27" spans="1:94" ht="15" customHeight="1" x14ac:dyDescent="0.25">
      <c r="A27" s="47" t="s">
        <v>160</v>
      </c>
      <c r="B27" s="46"/>
      <c r="C27" s="46"/>
      <c r="D27" s="46">
        <f t="shared" si="35"/>
        <v>0</v>
      </c>
      <c r="E27" s="46"/>
      <c r="F27" s="46"/>
      <c r="G27" s="46">
        <f t="shared" si="36"/>
        <v>0</v>
      </c>
      <c r="H27" s="46"/>
      <c r="I27" s="46"/>
      <c r="J27" s="46">
        <f t="shared" si="37"/>
        <v>0</v>
      </c>
      <c r="K27" s="46"/>
      <c r="L27" s="46"/>
      <c r="M27" s="46">
        <f t="shared" si="38"/>
        <v>0</v>
      </c>
      <c r="N27" s="46"/>
      <c r="O27" s="46"/>
      <c r="P27" s="46">
        <f t="shared" si="39"/>
        <v>0</v>
      </c>
      <c r="Q27" s="46"/>
      <c r="R27" s="46"/>
      <c r="S27" s="46">
        <f t="shared" si="40"/>
        <v>0</v>
      </c>
      <c r="T27" s="46"/>
      <c r="U27" s="46"/>
      <c r="V27" s="46">
        <f t="shared" si="41"/>
        <v>0</v>
      </c>
      <c r="W27" s="46">
        <v>41</v>
      </c>
      <c r="X27" s="46"/>
      <c r="Y27" s="46">
        <f t="shared" si="42"/>
        <v>41</v>
      </c>
      <c r="Z27" s="46"/>
      <c r="AA27" s="46"/>
      <c r="AB27" s="46">
        <f t="shared" si="43"/>
        <v>0</v>
      </c>
      <c r="AC27" s="46"/>
      <c r="AD27" s="46"/>
      <c r="AE27" s="46">
        <f t="shared" si="44"/>
        <v>0</v>
      </c>
      <c r="AF27" s="46">
        <v>34</v>
      </c>
      <c r="AG27" s="46">
        <v>133</v>
      </c>
      <c r="AH27" s="46">
        <f t="shared" si="45"/>
        <v>167</v>
      </c>
      <c r="AI27" s="46">
        <v>31</v>
      </c>
      <c r="AJ27" s="46">
        <v>105</v>
      </c>
      <c r="AK27" s="46">
        <f t="shared" si="46"/>
        <v>136</v>
      </c>
      <c r="AL27" s="46"/>
      <c r="AM27" s="46"/>
      <c r="AN27" s="46">
        <f t="shared" si="47"/>
        <v>0</v>
      </c>
      <c r="AO27" s="46"/>
      <c r="AP27" s="46"/>
      <c r="AQ27" s="46">
        <f t="shared" si="48"/>
        <v>0</v>
      </c>
      <c r="AR27" s="46"/>
      <c r="AS27" s="46"/>
      <c r="AT27" s="46">
        <f t="shared" si="49"/>
        <v>0</v>
      </c>
      <c r="AU27" s="46">
        <v>23.93</v>
      </c>
      <c r="AV27" s="46">
        <v>164.89</v>
      </c>
      <c r="AW27" s="46">
        <f t="shared" si="50"/>
        <v>188.82</v>
      </c>
      <c r="AX27" s="46"/>
      <c r="AY27" s="46"/>
      <c r="AZ27" s="46">
        <f t="shared" si="51"/>
        <v>0</v>
      </c>
      <c r="BA27" s="46"/>
      <c r="BB27" s="46"/>
      <c r="BC27" s="46">
        <f t="shared" si="52"/>
        <v>0</v>
      </c>
      <c r="BD27" s="46"/>
      <c r="BE27" s="46"/>
      <c r="BF27" s="46">
        <f t="shared" si="53"/>
        <v>0</v>
      </c>
      <c r="BG27" s="46"/>
      <c r="BH27" s="46"/>
      <c r="BI27" s="46">
        <f t="shared" si="54"/>
        <v>0</v>
      </c>
      <c r="BJ27" s="46"/>
      <c r="BK27" s="46"/>
      <c r="BL27" s="46">
        <f t="shared" si="66"/>
        <v>0</v>
      </c>
      <c r="BM27" s="46"/>
      <c r="BN27" s="46"/>
      <c r="BO27" s="46">
        <f t="shared" si="56"/>
        <v>0</v>
      </c>
      <c r="BP27" s="46"/>
      <c r="BQ27" s="46"/>
      <c r="BR27" s="46">
        <f t="shared" si="57"/>
        <v>0</v>
      </c>
      <c r="BS27" s="46"/>
      <c r="BT27" s="46"/>
      <c r="BU27" s="46">
        <f t="shared" si="58"/>
        <v>0</v>
      </c>
      <c r="BV27" s="46"/>
      <c r="BW27" s="46"/>
      <c r="BX27" s="46">
        <f t="shared" si="68"/>
        <v>0</v>
      </c>
      <c r="BY27" s="46"/>
      <c r="BZ27" s="46"/>
      <c r="CA27" s="46">
        <f t="shared" si="60"/>
        <v>0</v>
      </c>
      <c r="CB27" s="46"/>
      <c r="CC27" s="46"/>
      <c r="CD27" s="46">
        <f t="shared" si="61"/>
        <v>0</v>
      </c>
      <c r="CE27" s="46"/>
      <c r="CF27" s="46"/>
      <c r="CG27" s="46">
        <f t="shared" si="62"/>
        <v>0</v>
      </c>
      <c r="CH27" s="46"/>
      <c r="CI27" s="46"/>
      <c r="CJ27" s="46">
        <f t="shared" si="63"/>
        <v>0</v>
      </c>
      <c r="CK27" s="46"/>
      <c r="CL27" s="46"/>
      <c r="CM27" s="46">
        <f t="shared" si="64"/>
        <v>0</v>
      </c>
      <c r="CN27" s="46"/>
      <c r="CO27" s="46"/>
      <c r="CP27" s="46">
        <f t="shared" si="67"/>
        <v>0</v>
      </c>
    </row>
    <row r="28" spans="1:94" ht="15" customHeight="1" x14ac:dyDescent="0.25">
      <c r="A28" s="47" t="s">
        <v>161</v>
      </c>
      <c r="B28" s="46">
        <v>282</v>
      </c>
      <c r="C28" s="46">
        <v>810</v>
      </c>
      <c r="D28" s="46">
        <f t="shared" si="35"/>
        <v>1092</v>
      </c>
      <c r="E28" s="46"/>
      <c r="F28" s="46">
        <v>10894</v>
      </c>
      <c r="G28" s="46">
        <f t="shared" si="36"/>
        <v>10894</v>
      </c>
      <c r="H28" s="46">
        <v>20377</v>
      </c>
      <c r="I28" s="46">
        <v>72585</v>
      </c>
      <c r="J28" s="46">
        <f t="shared" si="37"/>
        <v>92962</v>
      </c>
      <c r="K28" s="46">
        <v>69880</v>
      </c>
      <c r="L28" s="46">
        <v>10013</v>
      </c>
      <c r="M28" s="46">
        <f t="shared" si="38"/>
        <v>79893</v>
      </c>
      <c r="N28" s="46"/>
      <c r="O28" s="46">
        <v>12192.14</v>
      </c>
      <c r="P28" s="46">
        <f t="shared" si="39"/>
        <v>12192.14</v>
      </c>
      <c r="Q28" s="46">
        <v>1187</v>
      </c>
      <c r="R28" s="46">
        <v>8684</v>
      </c>
      <c r="S28" s="46">
        <f t="shared" si="40"/>
        <v>9871</v>
      </c>
      <c r="T28" s="46">
        <v>10823.15</v>
      </c>
      <c r="U28" s="46">
        <v>13228.3</v>
      </c>
      <c r="V28" s="46">
        <f t="shared" si="41"/>
        <v>24051.449999999997</v>
      </c>
      <c r="W28" s="46"/>
      <c r="X28" s="46">
        <v>3050</v>
      </c>
      <c r="Y28" s="46">
        <f t="shared" si="42"/>
        <v>3050</v>
      </c>
      <c r="Z28" s="46"/>
      <c r="AA28" s="46"/>
      <c r="AB28" s="46">
        <f t="shared" si="43"/>
        <v>0</v>
      </c>
      <c r="AC28" s="46"/>
      <c r="AD28" s="46"/>
      <c r="AE28" s="46">
        <f t="shared" si="44"/>
        <v>0</v>
      </c>
      <c r="AF28" s="46">
        <v>10484</v>
      </c>
      <c r="AG28" s="46">
        <v>40687</v>
      </c>
      <c r="AH28" s="46">
        <f t="shared" si="45"/>
        <v>51171</v>
      </c>
      <c r="AI28" s="46">
        <v>10608</v>
      </c>
      <c r="AJ28" s="46">
        <v>31394</v>
      </c>
      <c r="AK28" s="46">
        <f t="shared" si="46"/>
        <v>42002</v>
      </c>
      <c r="AL28" s="46">
        <v>1402</v>
      </c>
      <c r="AM28" s="46">
        <v>7125</v>
      </c>
      <c r="AN28" s="46">
        <f t="shared" si="47"/>
        <v>8527</v>
      </c>
      <c r="AO28" s="46">
        <v>237</v>
      </c>
      <c r="AP28" s="46">
        <v>649</v>
      </c>
      <c r="AQ28" s="46">
        <f t="shared" si="48"/>
        <v>886</v>
      </c>
      <c r="AR28" s="46">
        <v>3735.28</v>
      </c>
      <c r="AS28" s="46">
        <v>9579.6</v>
      </c>
      <c r="AT28" s="46">
        <f t="shared" si="49"/>
        <v>13314.880000000001</v>
      </c>
      <c r="AU28" s="46">
        <v>2586.04</v>
      </c>
      <c r="AV28" s="46">
        <v>17817.46</v>
      </c>
      <c r="AW28" s="46">
        <f t="shared" si="50"/>
        <v>20403.5</v>
      </c>
      <c r="AX28" s="46">
        <v>1328.28</v>
      </c>
      <c r="AY28" s="46">
        <v>535.9</v>
      </c>
      <c r="AZ28" s="46">
        <f t="shared" si="51"/>
        <v>1864.1799999999998</v>
      </c>
      <c r="BA28" s="46">
        <v>6239.99</v>
      </c>
      <c r="BB28" s="46">
        <v>149.88</v>
      </c>
      <c r="BC28" s="46">
        <f>BB28+BA28</f>
        <v>6389.87</v>
      </c>
      <c r="BD28" s="46">
        <v>188.05</v>
      </c>
      <c r="BE28" s="46">
        <v>70015.600000000006</v>
      </c>
      <c r="BF28" s="46">
        <f t="shared" si="53"/>
        <v>70203.650000000009</v>
      </c>
      <c r="BG28" s="46">
        <v>1991</v>
      </c>
      <c r="BH28" s="46">
        <v>1526</v>
      </c>
      <c r="BI28" s="46">
        <f t="shared" si="54"/>
        <v>3517</v>
      </c>
      <c r="BJ28" s="46">
        <v>23</v>
      </c>
      <c r="BK28" s="46">
        <v>64</v>
      </c>
      <c r="BL28" s="46">
        <f t="shared" si="66"/>
        <v>87</v>
      </c>
      <c r="BM28" s="46">
        <v>738</v>
      </c>
      <c r="BN28" s="46">
        <v>4031</v>
      </c>
      <c r="BO28" s="46">
        <f t="shared" si="56"/>
        <v>4769</v>
      </c>
      <c r="BP28" s="46">
        <v>2965.3</v>
      </c>
      <c r="BQ28" s="46">
        <v>13460.45</v>
      </c>
      <c r="BR28" s="46">
        <f t="shared" si="57"/>
        <v>16425.75</v>
      </c>
      <c r="BS28" s="46">
        <v>40705</v>
      </c>
      <c r="BT28" s="46">
        <v>31460</v>
      </c>
      <c r="BU28" s="46">
        <f t="shared" si="58"/>
        <v>72165</v>
      </c>
      <c r="BV28" s="46"/>
      <c r="BW28" s="46"/>
      <c r="BX28" s="46">
        <f t="shared" si="68"/>
        <v>0</v>
      </c>
      <c r="BY28" s="46">
        <v>7547</v>
      </c>
      <c r="BZ28" s="46">
        <v>12741</v>
      </c>
      <c r="CA28" s="46">
        <f t="shared" si="60"/>
        <v>20288</v>
      </c>
      <c r="CB28" s="46">
        <v>1643</v>
      </c>
      <c r="CC28" s="46">
        <v>6994</v>
      </c>
      <c r="CD28" s="46">
        <f t="shared" si="61"/>
        <v>8637</v>
      </c>
      <c r="CE28" s="46"/>
      <c r="CF28" s="46"/>
      <c r="CG28" s="46">
        <f t="shared" si="62"/>
        <v>0</v>
      </c>
      <c r="CH28" s="46">
        <v>6425</v>
      </c>
      <c r="CI28" s="46">
        <v>129119</v>
      </c>
      <c r="CJ28" s="46">
        <f t="shared" si="63"/>
        <v>135544</v>
      </c>
      <c r="CK28" s="46">
        <v>11222</v>
      </c>
      <c r="CL28" s="46">
        <v>106539</v>
      </c>
      <c r="CM28" s="46">
        <f t="shared" si="64"/>
        <v>117761</v>
      </c>
      <c r="CN28" s="46">
        <v>397</v>
      </c>
      <c r="CO28" s="46">
        <v>1292</v>
      </c>
      <c r="CP28" s="46">
        <f t="shared" si="67"/>
        <v>1689</v>
      </c>
    </row>
    <row r="29" spans="1:94" ht="15" customHeight="1" x14ac:dyDescent="0.25">
      <c r="A29" s="47" t="s">
        <v>311</v>
      </c>
      <c r="B29" s="46"/>
      <c r="C29" s="46"/>
      <c r="D29" s="46"/>
      <c r="E29" s="46"/>
      <c r="F29" s="46"/>
      <c r="G29" s="46"/>
      <c r="H29" s="46"/>
      <c r="I29" s="46"/>
      <c r="J29" s="46">
        <f t="shared" si="37"/>
        <v>0</v>
      </c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</row>
    <row r="30" spans="1:94" ht="15" customHeight="1" x14ac:dyDescent="0.25">
      <c r="A30" s="47" t="s">
        <v>312</v>
      </c>
      <c r="B30" s="46">
        <v>505</v>
      </c>
      <c r="C30" s="46">
        <v>1453</v>
      </c>
      <c r="D30" s="46">
        <f t="shared" si="35"/>
        <v>1958</v>
      </c>
      <c r="E30" s="46"/>
      <c r="F30" s="46">
        <v>3009</v>
      </c>
      <c r="G30" s="46">
        <f t="shared" si="36"/>
        <v>3009</v>
      </c>
      <c r="H30" s="46">
        <v>6423</v>
      </c>
      <c r="I30" s="46">
        <v>22879</v>
      </c>
      <c r="J30" s="46">
        <f t="shared" si="37"/>
        <v>29302</v>
      </c>
      <c r="K30" s="46"/>
      <c r="L30" s="46">
        <v>57444</v>
      </c>
      <c r="M30" s="46">
        <f t="shared" si="38"/>
        <v>57444</v>
      </c>
      <c r="N30" s="46">
        <v>2999.81</v>
      </c>
      <c r="O30" s="46">
        <v>8788.2999999999993</v>
      </c>
      <c r="P30" s="46">
        <f t="shared" si="39"/>
        <v>11788.109999999999</v>
      </c>
      <c r="Q30" s="46">
        <v>3269</v>
      </c>
      <c r="R30" s="46">
        <v>23907</v>
      </c>
      <c r="S30" s="46">
        <f t="shared" si="40"/>
        <v>27176</v>
      </c>
      <c r="T30" s="46">
        <v>16891.3</v>
      </c>
      <c r="U30" s="46">
        <v>20644.93</v>
      </c>
      <c r="V30" s="46">
        <f t="shared" si="41"/>
        <v>37536.229999999996</v>
      </c>
      <c r="W30" s="46"/>
      <c r="X30" s="46">
        <v>2494</v>
      </c>
      <c r="Y30" s="46">
        <f t="shared" si="42"/>
        <v>2494</v>
      </c>
      <c r="Z30" s="46">
        <v>1763.77</v>
      </c>
      <c r="AA30" s="46">
        <v>6158.78</v>
      </c>
      <c r="AB30" s="46">
        <f t="shared" si="43"/>
        <v>7922.5499999999993</v>
      </c>
      <c r="AC30" s="46"/>
      <c r="AD30" s="46">
        <v>33517</v>
      </c>
      <c r="AE30" s="46">
        <f t="shared" si="44"/>
        <v>33517</v>
      </c>
      <c r="AF30" s="46">
        <v>8367</v>
      </c>
      <c r="AG30" s="46">
        <v>32474</v>
      </c>
      <c r="AH30" s="46">
        <f t="shared" si="45"/>
        <v>40841</v>
      </c>
      <c r="AI30" s="46">
        <v>35489</v>
      </c>
      <c r="AJ30" s="46">
        <v>117640</v>
      </c>
      <c r="AK30" s="46">
        <f t="shared" si="46"/>
        <v>153129</v>
      </c>
      <c r="AL30" s="46">
        <v>2142</v>
      </c>
      <c r="AM30" s="46">
        <v>10872</v>
      </c>
      <c r="AN30" s="46">
        <f t="shared" si="47"/>
        <v>13014</v>
      </c>
      <c r="AO30" s="46">
        <v>673</v>
      </c>
      <c r="AP30" s="46">
        <v>1842</v>
      </c>
      <c r="AQ30" s="46">
        <f t="shared" si="48"/>
        <v>2515</v>
      </c>
      <c r="AR30" s="46">
        <v>6766.15</v>
      </c>
      <c r="AS30" s="46">
        <v>17352.66</v>
      </c>
      <c r="AT30" s="46">
        <f t="shared" si="49"/>
        <v>24118.809999999998</v>
      </c>
      <c r="AU30" s="46">
        <v>132.77000000000001</v>
      </c>
      <c r="AV30" s="46">
        <v>914.74</v>
      </c>
      <c r="AW30" s="46">
        <f t="shared" si="50"/>
        <v>1047.51</v>
      </c>
      <c r="AX30" s="46">
        <v>1008.75</v>
      </c>
      <c r="AY30" s="46">
        <v>1013.01</v>
      </c>
      <c r="AZ30" s="46">
        <f t="shared" si="51"/>
        <v>2021.76</v>
      </c>
      <c r="BA30" s="46"/>
      <c r="BB30" s="46">
        <v>8019.14</v>
      </c>
      <c r="BC30" s="46">
        <f t="shared" si="52"/>
        <v>8019.14</v>
      </c>
      <c r="BD30" s="46">
        <v>251.43</v>
      </c>
      <c r="BE30" s="46">
        <v>93614.85</v>
      </c>
      <c r="BF30" s="46">
        <f t="shared" si="53"/>
        <v>93866.28</v>
      </c>
      <c r="BG30" s="46"/>
      <c r="BH30" s="46"/>
      <c r="BI30" s="46">
        <f t="shared" si="54"/>
        <v>0</v>
      </c>
      <c r="BJ30" s="46">
        <v>665</v>
      </c>
      <c r="BK30" s="46">
        <v>1845</v>
      </c>
      <c r="BL30" s="46">
        <f t="shared" si="66"/>
        <v>2510</v>
      </c>
      <c r="BM30" s="46">
        <v>31796</v>
      </c>
      <c r="BN30" s="46">
        <v>173702</v>
      </c>
      <c r="BO30" s="46">
        <f t="shared" si="56"/>
        <v>205498</v>
      </c>
      <c r="BP30" s="46">
        <v>9265</v>
      </c>
      <c r="BQ30" s="46">
        <v>42056.800000000003</v>
      </c>
      <c r="BR30" s="46">
        <f t="shared" si="57"/>
        <v>51321.8</v>
      </c>
      <c r="BS30" s="46">
        <v>3169</v>
      </c>
      <c r="BT30" s="46">
        <v>14429</v>
      </c>
      <c r="BU30" s="46">
        <f t="shared" si="58"/>
        <v>17598</v>
      </c>
      <c r="BV30" s="46"/>
      <c r="BW30" s="46"/>
      <c r="BX30" s="46">
        <f t="shared" si="68"/>
        <v>0</v>
      </c>
      <c r="BY30" s="46"/>
      <c r="BZ30" s="46"/>
      <c r="CA30" s="46">
        <f t="shared" si="60"/>
        <v>0</v>
      </c>
      <c r="CB30" s="46">
        <v>26162</v>
      </c>
      <c r="CC30" s="46">
        <v>111391</v>
      </c>
      <c r="CD30" s="46">
        <f t="shared" si="61"/>
        <v>137553</v>
      </c>
      <c r="CE30" s="46">
        <v>24908.22</v>
      </c>
      <c r="CF30" s="46">
        <v>60030.39</v>
      </c>
      <c r="CG30" s="46">
        <f t="shared" si="62"/>
        <v>84938.61</v>
      </c>
      <c r="CH30" s="46">
        <v>1042</v>
      </c>
      <c r="CI30" s="46">
        <v>20940</v>
      </c>
      <c r="CJ30" s="46">
        <f t="shared" si="63"/>
        <v>21982</v>
      </c>
      <c r="CK30" s="46">
        <v>6387</v>
      </c>
      <c r="CL30" s="46">
        <v>60633</v>
      </c>
      <c r="CM30" s="46">
        <f t="shared" si="64"/>
        <v>67020</v>
      </c>
      <c r="CN30" s="46">
        <v>11305</v>
      </c>
      <c r="CO30" s="46">
        <v>36766</v>
      </c>
      <c r="CP30" s="46">
        <f t="shared" si="67"/>
        <v>48071</v>
      </c>
    </row>
    <row r="31" spans="1:94" ht="15" customHeight="1" x14ac:dyDescent="0.25">
      <c r="A31" s="47" t="s">
        <v>168</v>
      </c>
      <c r="B31" s="46">
        <v>2200</v>
      </c>
      <c r="C31" s="46">
        <v>6327</v>
      </c>
      <c r="D31" s="46">
        <f t="shared" si="35"/>
        <v>8527</v>
      </c>
      <c r="E31" s="46">
        <v>250</v>
      </c>
      <c r="F31" s="46"/>
      <c r="G31" s="46">
        <f t="shared" si="36"/>
        <v>250</v>
      </c>
      <c r="H31" s="46">
        <v>45698</v>
      </c>
      <c r="I31" s="46">
        <v>162779</v>
      </c>
      <c r="J31" s="46">
        <f t="shared" si="37"/>
        <v>208477</v>
      </c>
      <c r="K31" s="46">
        <v>84292</v>
      </c>
      <c r="L31" s="46">
        <f>8979+7671</f>
        <v>16650</v>
      </c>
      <c r="M31" s="46">
        <f t="shared" si="38"/>
        <v>100942</v>
      </c>
      <c r="N31" s="46"/>
      <c r="O31" s="46"/>
      <c r="P31" s="46">
        <f t="shared" si="39"/>
        <v>0</v>
      </c>
      <c r="Q31" s="46">
        <v>16724</v>
      </c>
      <c r="R31" s="46">
        <v>122324</v>
      </c>
      <c r="S31" s="46">
        <f t="shared" si="40"/>
        <v>139048</v>
      </c>
      <c r="T31" s="46">
        <v>6234.2</v>
      </c>
      <c r="U31" s="46">
        <v>7619.58</v>
      </c>
      <c r="V31" s="46">
        <f t="shared" si="41"/>
        <v>13853.779999999999</v>
      </c>
      <c r="W31" s="46">
        <v>780</v>
      </c>
      <c r="X31" s="46">
        <v>1755</v>
      </c>
      <c r="Y31" s="46">
        <f t="shared" si="42"/>
        <v>2535</v>
      </c>
      <c r="Z31" s="46">
        <v>4986.0600000000004</v>
      </c>
      <c r="AA31" s="46">
        <v>17410.47</v>
      </c>
      <c r="AB31" s="46">
        <f t="shared" si="43"/>
        <v>22396.530000000002</v>
      </c>
      <c r="AC31" s="46"/>
      <c r="AD31" s="46"/>
      <c r="AE31" s="46">
        <f t="shared" si="44"/>
        <v>0</v>
      </c>
      <c r="AF31" s="46">
        <v>4480</v>
      </c>
      <c r="AG31" s="46">
        <v>17387</v>
      </c>
      <c r="AH31" s="46">
        <f t="shared" si="45"/>
        <v>21867</v>
      </c>
      <c r="AI31" s="46">
        <v>20487</v>
      </c>
      <c r="AJ31" s="46">
        <v>67912</v>
      </c>
      <c r="AK31" s="46">
        <f t="shared" si="46"/>
        <v>88399</v>
      </c>
      <c r="AL31" s="46"/>
      <c r="AM31" s="46"/>
      <c r="AN31" s="46">
        <f t="shared" si="47"/>
        <v>0</v>
      </c>
      <c r="AO31" s="46">
        <v>401</v>
      </c>
      <c r="AP31" s="46">
        <v>1099</v>
      </c>
      <c r="AQ31" s="46">
        <f t="shared" si="48"/>
        <v>1500</v>
      </c>
      <c r="AR31" s="46"/>
      <c r="AS31" s="46"/>
      <c r="AT31" s="46">
        <f t="shared" si="49"/>
        <v>0</v>
      </c>
      <c r="AU31" s="46">
        <v>197.98</v>
      </c>
      <c r="AV31" s="46">
        <v>1364.02</v>
      </c>
      <c r="AW31" s="46">
        <f t="shared" si="50"/>
        <v>1562</v>
      </c>
      <c r="AX31" s="46"/>
      <c r="AY31" s="46"/>
      <c r="AZ31" s="46">
        <f t="shared" si="51"/>
        <v>0</v>
      </c>
      <c r="BA31" s="46">
        <v>199</v>
      </c>
      <c r="BB31" s="46">
        <v>5373</v>
      </c>
      <c r="BC31" s="46">
        <f t="shared" si="52"/>
        <v>5572</v>
      </c>
      <c r="BD31" s="46">
        <v>201.34</v>
      </c>
      <c r="BE31" s="46">
        <v>74964.66</v>
      </c>
      <c r="BF31" s="46">
        <f t="shared" si="53"/>
        <v>75166</v>
      </c>
      <c r="BG31" s="46">
        <v>1565</v>
      </c>
      <c r="BH31" s="46">
        <v>2874</v>
      </c>
      <c r="BI31" s="46">
        <f t="shared" si="54"/>
        <v>4439</v>
      </c>
      <c r="BJ31" s="46">
        <v>671</v>
      </c>
      <c r="BK31" s="46">
        <v>1861</v>
      </c>
      <c r="BL31" s="46">
        <f t="shared" si="66"/>
        <v>2532</v>
      </c>
      <c r="BM31" s="46">
        <v>7728</v>
      </c>
      <c r="BN31" s="46">
        <v>42226</v>
      </c>
      <c r="BO31" s="46">
        <f t="shared" si="56"/>
        <v>49954</v>
      </c>
      <c r="BP31" s="46">
        <v>685.1</v>
      </c>
      <c r="BQ31" s="46">
        <v>3109.9</v>
      </c>
      <c r="BR31" s="46">
        <f t="shared" si="57"/>
        <v>3795</v>
      </c>
      <c r="BS31" s="46"/>
      <c r="BT31" s="46">
        <v>14365</v>
      </c>
      <c r="BU31" s="46">
        <f t="shared" si="58"/>
        <v>14365</v>
      </c>
      <c r="BV31" s="46"/>
      <c r="BW31" s="46"/>
      <c r="BX31" s="46">
        <f t="shared" si="68"/>
        <v>0</v>
      </c>
      <c r="BY31" s="46">
        <v>15847</v>
      </c>
      <c r="BZ31" s="46">
        <v>26753</v>
      </c>
      <c r="CA31" s="46">
        <f t="shared" si="60"/>
        <v>42600</v>
      </c>
      <c r="CB31" s="46">
        <v>4377</v>
      </c>
      <c r="CC31" s="46">
        <v>18636</v>
      </c>
      <c r="CD31" s="46">
        <f t="shared" si="61"/>
        <v>23013</v>
      </c>
      <c r="CE31" s="46"/>
      <c r="CF31" s="46"/>
      <c r="CG31" s="46">
        <f t="shared" si="62"/>
        <v>0</v>
      </c>
      <c r="CH31" s="46"/>
      <c r="CI31" s="46"/>
      <c r="CJ31" s="46">
        <f t="shared" si="63"/>
        <v>0</v>
      </c>
      <c r="CK31" s="46"/>
      <c r="CL31" s="46"/>
      <c r="CM31" s="46">
        <f t="shared" si="64"/>
        <v>0</v>
      </c>
      <c r="CN31" s="46">
        <v>2710</v>
      </c>
      <c r="CO31" s="46">
        <v>8814</v>
      </c>
      <c r="CP31" s="46">
        <f t="shared" si="67"/>
        <v>11524</v>
      </c>
    </row>
    <row r="32" spans="1:94" ht="15" customHeight="1" x14ac:dyDescent="0.25">
      <c r="A32" s="47" t="s">
        <v>162</v>
      </c>
      <c r="B32" s="46"/>
      <c r="C32" s="46"/>
      <c r="D32" s="46">
        <f t="shared" si="35"/>
        <v>0</v>
      </c>
      <c r="E32" s="46"/>
      <c r="F32" s="46"/>
      <c r="G32" s="46">
        <f t="shared" si="36"/>
        <v>0</v>
      </c>
      <c r="H32" s="46"/>
      <c r="I32" s="46"/>
      <c r="J32" s="46">
        <f t="shared" si="37"/>
        <v>0</v>
      </c>
      <c r="K32" s="46"/>
      <c r="L32" s="46"/>
      <c r="M32" s="46">
        <f t="shared" si="38"/>
        <v>0</v>
      </c>
      <c r="N32" s="46"/>
      <c r="O32" s="46"/>
      <c r="P32" s="46">
        <f t="shared" si="39"/>
        <v>0</v>
      </c>
      <c r="Q32" s="46"/>
      <c r="R32" s="46"/>
      <c r="S32" s="46">
        <f t="shared" si="40"/>
        <v>0</v>
      </c>
      <c r="T32" s="46"/>
      <c r="U32" s="46"/>
      <c r="V32" s="46">
        <f t="shared" si="41"/>
        <v>0</v>
      </c>
      <c r="W32" s="46"/>
      <c r="X32" s="46"/>
      <c r="Y32" s="46">
        <f t="shared" si="42"/>
        <v>0</v>
      </c>
      <c r="Z32" s="46"/>
      <c r="AA32" s="46"/>
      <c r="AB32" s="46">
        <f t="shared" si="43"/>
        <v>0</v>
      </c>
      <c r="AC32" s="46"/>
      <c r="AD32" s="46"/>
      <c r="AE32" s="46">
        <f t="shared" si="44"/>
        <v>0</v>
      </c>
      <c r="AF32" s="46"/>
      <c r="AG32" s="46"/>
      <c r="AH32" s="46">
        <f t="shared" si="45"/>
        <v>0</v>
      </c>
      <c r="AI32" s="46"/>
      <c r="AJ32" s="46"/>
      <c r="AK32" s="46">
        <f t="shared" si="46"/>
        <v>0</v>
      </c>
      <c r="AL32" s="46"/>
      <c r="AM32" s="46"/>
      <c r="AN32" s="46">
        <f t="shared" si="47"/>
        <v>0</v>
      </c>
      <c r="AO32" s="46"/>
      <c r="AP32" s="46"/>
      <c r="AQ32" s="46">
        <f t="shared" si="48"/>
        <v>0</v>
      </c>
      <c r="AR32" s="46"/>
      <c r="AS32" s="46"/>
      <c r="AT32" s="46">
        <f t="shared" si="49"/>
        <v>0</v>
      </c>
      <c r="AU32" s="46"/>
      <c r="AV32" s="46"/>
      <c r="AW32" s="46">
        <f t="shared" si="50"/>
        <v>0</v>
      </c>
      <c r="AX32" s="46"/>
      <c r="AY32" s="46"/>
      <c r="AZ32" s="46">
        <f t="shared" si="51"/>
        <v>0</v>
      </c>
      <c r="BA32" s="46"/>
      <c r="BB32" s="46"/>
      <c r="BC32" s="46">
        <f t="shared" si="52"/>
        <v>0</v>
      </c>
      <c r="BD32" s="46"/>
      <c r="BE32" s="46"/>
      <c r="BF32" s="46">
        <f t="shared" si="53"/>
        <v>0</v>
      </c>
      <c r="BG32" s="46"/>
      <c r="BH32" s="46"/>
      <c r="BI32" s="46">
        <f t="shared" si="54"/>
        <v>0</v>
      </c>
      <c r="BJ32" s="46"/>
      <c r="BK32" s="46"/>
      <c r="BL32" s="46">
        <f t="shared" si="66"/>
        <v>0</v>
      </c>
      <c r="BM32" s="46"/>
      <c r="BN32" s="46"/>
      <c r="BO32" s="46">
        <f t="shared" si="56"/>
        <v>0</v>
      </c>
      <c r="BP32" s="46"/>
      <c r="BQ32" s="46"/>
      <c r="BR32" s="46">
        <f t="shared" si="57"/>
        <v>0</v>
      </c>
      <c r="BS32" s="46"/>
      <c r="BT32" s="46"/>
      <c r="BU32" s="46">
        <f t="shared" si="58"/>
        <v>0</v>
      </c>
      <c r="BV32" s="46"/>
      <c r="BW32" s="46"/>
      <c r="BX32" s="46">
        <f t="shared" si="68"/>
        <v>0</v>
      </c>
      <c r="BY32" s="46"/>
      <c r="BZ32" s="46"/>
      <c r="CA32" s="46">
        <f t="shared" si="60"/>
        <v>0</v>
      </c>
      <c r="CB32" s="46"/>
      <c r="CC32" s="46"/>
      <c r="CD32" s="46">
        <f t="shared" si="61"/>
        <v>0</v>
      </c>
      <c r="CE32" s="46"/>
      <c r="CF32" s="46"/>
      <c r="CG32" s="46">
        <f t="shared" si="62"/>
        <v>0</v>
      </c>
      <c r="CH32" s="46"/>
      <c r="CI32" s="46"/>
      <c r="CJ32" s="46">
        <f t="shared" si="63"/>
        <v>0</v>
      </c>
      <c r="CK32" s="46"/>
      <c r="CL32" s="46"/>
      <c r="CM32" s="46">
        <f t="shared" si="64"/>
        <v>0</v>
      </c>
      <c r="CN32" s="46"/>
      <c r="CO32" s="46"/>
      <c r="CP32" s="46">
        <f t="shared" si="67"/>
        <v>0</v>
      </c>
    </row>
    <row r="33" spans="1:94" ht="15" customHeight="1" x14ac:dyDescent="0.25">
      <c r="A33" s="47" t="s">
        <v>313</v>
      </c>
      <c r="B33" s="46"/>
      <c r="C33" s="46"/>
      <c r="D33" s="46"/>
      <c r="E33" s="46"/>
      <c r="F33" s="46"/>
      <c r="G33" s="46"/>
      <c r="H33" s="46"/>
      <c r="I33" s="46"/>
      <c r="J33" s="46">
        <f t="shared" si="37"/>
        <v>0</v>
      </c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>
        <f t="shared" si="41"/>
        <v>0</v>
      </c>
      <c r="W33" s="46">
        <v>9</v>
      </c>
      <c r="X33" s="46">
        <v>604</v>
      </c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>
        <f t="shared" si="68"/>
        <v>0</v>
      </c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>
        <f t="shared" si="63"/>
        <v>0</v>
      </c>
      <c r="CK33" s="46"/>
      <c r="CL33" s="46"/>
      <c r="CM33" s="46"/>
      <c r="CN33" s="46"/>
      <c r="CO33" s="46"/>
      <c r="CP33" s="46">
        <f t="shared" si="67"/>
        <v>0</v>
      </c>
    </row>
    <row r="34" spans="1:94" ht="15" customHeight="1" x14ac:dyDescent="0.25">
      <c r="A34" s="47" t="s">
        <v>310</v>
      </c>
      <c r="B34" s="46">
        <v>129</v>
      </c>
      <c r="C34" s="46">
        <v>372</v>
      </c>
      <c r="D34" s="46">
        <f t="shared" si="35"/>
        <v>501</v>
      </c>
      <c r="E34" s="46">
        <v>501</v>
      </c>
      <c r="F34" s="46">
        <v>3505</v>
      </c>
      <c r="G34" s="46">
        <f t="shared" si="36"/>
        <v>4006</v>
      </c>
      <c r="H34" s="46">
        <v>7038</v>
      </c>
      <c r="I34" s="46">
        <v>25070</v>
      </c>
      <c r="J34" s="46">
        <f t="shared" si="37"/>
        <v>32108</v>
      </c>
      <c r="K34" s="46">
        <v>1506</v>
      </c>
      <c r="L34" s="46">
        <v>55411</v>
      </c>
      <c r="M34" s="46">
        <f t="shared" si="38"/>
        <v>56917</v>
      </c>
      <c r="N34" s="46">
        <v>4002.69</v>
      </c>
      <c r="O34" s="46">
        <v>16490.97</v>
      </c>
      <c r="P34" s="46">
        <f t="shared" si="39"/>
        <v>20493.66</v>
      </c>
      <c r="Q34" s="46">
        <v>2201</v>
      </c>
      <c r="R34" s="46">
        <v>16096</v>
      </c>
      <c r="S34" s="46">
        <f t="shared" si="40"/>
        <v>18297</v>
      </c>
      <c r="T34" s="46">
        <v>2339.0700000000002</v>
      </c>
      <c r="U34" s="46">
        <v>2858.86</v>
      </c>
      <c r="V34" s="46">
        <f t="shared" si="41"/>
        <v>5197.93</v>
      </c>
      <c r="W34" s="46">
        <v>958</v>
      </c>
      <c r="X34" s="46">
        <v>2782</v>
      </c>
      <c r="Y34" s="46">
        <f t="shared" si="42"/>
        <v>3740</v>
      </c>
      <c r="Z34" s="46">
        <v>893.26</v>
      </c>
      <c r="AA34" s="46">
        <v>3119.12</v>
      </c>
      <c r="AB34" s="46">
        <f t="shared" si="43"/>
        <v>4012.38</v>
      </c>
      <c r="AC34" s="46">
        <v>31699</v>
      </c>
      <c r="AD34" s="46">
        <v>108078</v>
      </c>
      <c r="AE34" s="46">
        <f t="shared" si="44"/>
        <v>139777</v>
      </c>
      <c r="AF34" s="46">
        <v>10824</v>
      </c>
      <c r="AG34" s="46">
        <v>42009</v>
      </c>
      <c r="AH34" s="46">
        <f t="shared" si="45"/>
        <v>52833</v>
      </c>
      <c r="AI34" s="46">
        <v>15090</v>
      </c>
      <c r="AJ34" s="46">
        <v>50026</v>
      </c>
      <c r="AK34" s="46">
        <f t="shared" si="46"/>
        <v>65116</v>
      </c>
      <c r="AL34" s="46">
        <v>8701</v>
      </c>
      <c r="AM34" s="46">
        <v>44168</v>
      </c>
      <c r="AN34" s="46">
        <f t="shared" si="47"/>
        <v>52869</v>
      </c>
      <c r="AO34" s="46">
        <v>1163</v>
      </c>
      <c r="AP34" s="46">
        <v>3184</v>
      </c>
      <c r="AQ34" s="46">
        <f t="shared" si="48"/>
        <v>4347</v>
      </c>
      <c r="AR34" s="46">
        <v>3646.55</v>
      </c>
      <c r="AS34" s="46">
        <v>9352.02</v>
      </c>
      <c r="AT34" s="46">
        <f t="shared" si="49"/>
        <v>12998.57</v>
      </c>
      <c r="AU34" s="46"/>
      <c r="AV34" s="46"/>
      <c r="AW34" s="46">
        <f t="shared" si="50"/>
        <v>0</v>
      </c>
      <c r="AX34" s="46">
        <v>3005.7</v>
      </c>
      <c r="AY34" s="46">
        <v>5019.97</v>
      </c>
      <c r="AZ34" s="46">
        <f t="shared" si="51"/>
        <v>8025.67</v>
      </c>
      <c r="BA34" s="46"/>
      <c r="BB34" s="46">
        <v>8508.32</v>
      </c>
      <c r="BC34" s="46">
        <f t="shared" si="52"/>
        <v>8508.32</v>
      </c>
      <c r="BD34" s="46">
        <v>80</v>
      </c>
      <c r="BE34" s="46">
        <v>29918.5</v>
      </c>
      <c r="BF34" s="46">
        <f t="shared" si="53"/>
        <v>29998.5</v>
      </c>
      <c r="BG34" s="46"/>
      <c r="BH34" s="46"/>
      <c r="BI34" s="46">
        <f t="shared" si="54"/>
        <v>0</v>
      </c>
      <c r="BJ34" s="46">
        <v>1459</v>
      </c>
      <c r="BK34" s="46">
        <v>4048</v>
      </c>
      <c r="BL34" s="46">
        <f t="shared" si="66"/>
        <v>5507</v>
      </c>
      <c r="BM34" s="46">
        <v>3226</v>
      </c>
      <c r="BN34" s="46">
        <v>17624</v>
      </c>
      <c r="BO34" s="46">
        <f t="shared" si="56"/>
        <v>20850</v>
      </c>
      <c r="BP34" s="46">
        <v>2164.5700000000002</v>
      </c>
      <c r="BQ34" s="46">
        <v>9825.68</v>
      </c>
      <c r="BR34" s="46">
        <f t="shared" si="57"/>
        <v>11990.25</v>
      </c>
      <c r="BS34" s="46"/>
      <c r="BT34" s="46">
        <v>19082</v>
      </c>
      <c r="BU34" s="46">
        <f t="shared" si="58"/>
        <v>19082</v>
      </c>
      <c r="BV34" s="46"/>
      <c r="BW34" s="46">
        <v>15183</v>
      </c>
      <c r="BX34" s="46">
        <f t="shared" si="68"/>
        <v>15183</v>
      </c>
      <c r="BY34" s="46">
        <v>2971</v>
      </c>
      <c r="BZ34" s="46">
        <v>5016</v>
      </c>
      <c r="CA34" s="46">
        <f t="shared" si="60"/>
        <v>7987</v>
      </c>
      <c r="CB34" s="46">
        <v>476</v>
      </c>
      <c r="CC34" s="46">
        <v>2028</v>
      </c>
      <c r="CD34" s="46">
        <f t="shared" si="61"/>
        <v>2504</v>
      </c>
      <c r="CE34" s="46">
        <v>34778.75</v>
      </c>
      <c r="CF34" s="46">
        <v>83819</v>
      </c>
      <c r="CG34" s="46">
        <f t="shared" si="62"/>
        <v>118597.75</v>
      </c>
      <c r="CH34" s="46">
        <v>1307</v>
      </c>
      <c r="CI34" s="46">
        <v>26266</v>
      </c>
      <c r="CJ34" s="46">
        <f t="shared" si="63"/>
        <v>27573</v>
      </c>
      <c r="CK34" s="46">
        <v>5868</v>
      </c>
      <c r="CL34" s="46">
        <v>55706</v>
      </c>
      <c r="CM34" s="46">
        <f t="shared" si="64"/>
        <v>61574</v>
      </c>
      <c r="CN34" s="46">
        <v>5039</v>
      </c>
      <c r="CO34" s="46">
        <v>16387</v>
      </c>
      <c r="CP34" s="46">
        <f t="shared" si="67"/>
        <v>21426</v>
      </c>
    </row>
    <row r="35" spans="1:94" x14ac:dyDescent="0.25">
      <c r="A35" s="47" t="s">
        <v>164</v>
      </c>
      <c r="B35" s="46"/>
      <c r="C35" s="46"/>
      <c r="D35" s="46">
        <f t="shared" si="35"/>
        <v>0</v>
      </c>
      <c r="E35" s="46"/>
      <c r="F35" s="46">
        <v>1002</v>
      </c>
      <c r="G35" s="46">
        <f t="shared" si="36"/>
        <v>1002</v>
      </c>
      <c r="H35" s="46">
        <v>548</v>
      </c>
      <c r="I35" s="46">
        <v>1952</v>
      </c>
      <c r="J35" s="46">
        <f t="shared" si="37"/>
        <v>2500</v>
      </c>
      <c r="K35" s="46"/>
      <c r="L35" s="46"/>
      <c r="M35" s="46">
        <f t="shared" si="38"/>
        <v>0</v>
      </c>
      <c r="N35" s="46"/>
      <c r="O35" s="46"/>
      <c r="P35" s="46">
        <f t="shared" si="39"/>
        <v>0</v>
      </c>
      <c r="Q35" s="46">
        <v>302</v>
      </c>
      <c r="R35" s="46">
        <v>2207</v>
      </c>
      <c r="S35" s="46">
        <f t="shared" si="40"/>
        <v>2509</v>
      </c>
      <c r="T35" s="46">
        <v>4050.52</v>
      </c>
      <c r="U35" s="46">
        <v>4950.63</v>
      </c>
      <c r="V35" s="46">
        <f t="shared" si="41"/>
        <v>9001.15</v>
      </c>
      <c r="W35" s="46">
        <v>739</v>
      </c>
      <c r="X35" s="46">
        <v>2071</v>
      </c>
      <c r="Y35" s="46">
        <f t="shared" si="42"/>
        <v>2810</v>
      </c>
      <c r="Z35" s="46"/>
      <c r="AA35" s="46"/>
      <c r="AB35" s="46">
        <f t="shared" si="43"/>
        <v>0</v>
      </c>
      <c r="AC35" s="46"/>
      <c r="AD35" s="46"/>
      <c r="AE35" s="46">
        <f t="shared" si="44"/>
        <v>0</v>
      </c>
      <c r="AF35" s="46"/>
      <c r="AG35" s="46"/>
      <c r="AH35" s="46">
        <f t="shared" si="45"/>
        <v>0</v>
      </c>
      <c r="AI35" s="46"/>
      <c r="AJ35" s="46"/>
      <c r="AK35" s="46">
        <f t="shared" si="46"/>
        <v>0</v>
      </c>
      <c r="AL35" s="46"/>
      <c r="AM35" s="46"/>
      <c r="AN35" s="46">
        <f t="shared" si="47"/>
        <v>0</v>
      </c>
      <c r="AO35" s="46"/>
      <c r="AP35" s="46"/>
      <c r="AQ35" s="46">
        <f t="shared" si="48"/>
        <v>0</v>
      </c>
      <c r="AR35" s="46"/>
      <c r="AS35" s="46"/>
      <c r="AT35" s="46">
        <f t="shared" si="49"/>
        <v>0</v>
      </c>
      <c r="AU35" s="46"/>
      <c r="AV35" s="46"/>
      <c r="AW35" s="46">
        <f t="shared" si="50"/>
        <v>0</v>
      </c>
      <c r="AX35" s="46">
        <v>545.67999999999995</v>
      </c>
      <c r="AY35" s="46">
        <v>1207.57</v>
      </c>
      <c r="AZ35" s="46">
        <f t="shared" si="51"/>
        <v>1753.25</v>
      </c>
      <c r="BA35" s="46"/>
      <c r="BB35" s="46"/>
      <c r="BC35" s="46">
        <f t="shared" si="52"/>
        <v>0</v>
      </c>
      <c r="BD35" s="46"/>
      <c r="BE35" s="46"/>
      <c r="BF35" s="46">
        <f t="shared" si="53"/>
        <v>0</v>
      </c>
      <c r="BG35" s="46"/>
      <c r="BH35" s="46">
        <v>509</v>
      </c>
      <c r="BI35" s="46">
        <f t="shared" si="54"/>
        <v>509</v>
      </c>
      <c r="BJ35" s="46"/>
      <c r="BK35" s="46"/>
      <c r="BL35" s="46">
        <f t="shared" si="66"/>
        <v>0</v>
      </c>
      <c r="BM35" s="46">
        <f>3760-803</f>
        <v>2957</v>
      </c>
      <c r="BN35" s="46">
        <f>20544-4387</f>
        <v>16157</v>
      </c>
      <c r="BO35" s="46">
        <f t="shared" si="56"/>
        <v>19114</v>
      </c>
      <c r="BP35" s="46">
        <v>1498.87</v>
      </c>
      <c r="BQ35" s="46">
        <v>6803.84</v>
      </c>
      <c r="BR35" s="46">
        <f t="shared" si="57"/>
        <v>8302.7099999999991</v>
      </c>
      <c r="BS35" s="46"/>
      <c r="BT35" s="46">
        <v>27309</v>
      </c>
      <c r="BU35" s="46">
        <f t="shared" si="58"/>
        <v>27309</v>
      </c>
      <c r="BV35" s="46"/>
      <c r="BW35" s="46"/>
      <c r="BX35" s="46">
        <v>0</v>
      </c>
      <c r="BY35" s="46"/>
      <c r="BZ35" s="46"/>
      <c r="CA35" s="46">
        <f t="shared" si="60"/>
        <v>0</v>
      </c>
      <c r="CB35" s="46">
        <v>11171</v>
      </c>
      <c r="CC35" s="46">
        <v>47564</v>
      </c>
      <c r="CD35" s="46">
        <f t="shared" si="61"/>
        <v>58735</v>
      </c>
      <c r="CE35" s="46">
        <v>35.06</v>
      </c>
      <c r="CF35" s="46">
        <v>84.5</v>
      </c>
      <c r="CG35" s="46">
        <f t="shared" si="62"/>
        <v>119.56</v>
      </c>
      <c r="CH35" s="46">
        <v>4</v>
      </c>
      <c r="CI35" s="46">
        <v>90</v>
      </c>
      <c r="CJ35" s="46">
        <f t="shared" si="63"/>
        <v>94</v>
      </c>
      <c r="CK35" s="46">
        <v>296</v>
      </c>
      <c r="CL35" s="46">
        <v>2804</v>
      </c>
      <c r="CM35" s="46">
        <f t="shared" si="64"/>
        <v>3100</v>
      </c>
      <c r="CN35" s="46">
        <v>268</v>
      </c>
      <c r="CO35" s="46">
        <v>871</v>
      </c>
      <c r="CP35" s="46">
        <f t="shared" si="67"/>
        <v>1139</v>
      </c>
    </row>
    <row r="36" spans="1:94" s="49" customFormat="1" x14ac:dyDescent="0.25">
      <c r="A36" s="45" t="s">
        <v>167</v>
      </c>
      <c r="B36" s="48">
        <f t="shared" ref="B36:AG36" si="69">SUM(B22:B35)</f>
        <v>3647</v>
      </c>
      <c r="C36" s="48">
        <f t="shared" si="69"/>
        <v>10488</v>
      </c>
      <c r="D36" s="48">
        <f t="shared" si="69"/>
        <v>14135</v>
      </c>
      <c r="E36" s="48">
        <f t="shared" si="69"/>
        <v>751</v>
      </c>
      <c r="F36" s="48">
        <f t="shared" si="69"/>
        <v>18410</v>
      </c>
      <c r="G36" s="48">
        <f t="shared" si="69"/>
        <v>19161</v>
      </c>
      <c r="H36" s="48">
        <f t="shared" si="69"/>
        <v>89510</v>
      </c>
      <c r="I36" s="48">
        <f t="shared" si="69"/>
        <v>318838</v>
      </c>
      <c r="J36" s="48">
        <f t="shared" si="69"/>
        <v>408348</v>
      </c>
      <c r="K36" s="48">
        <f t="shared" si="69"/>
        <v>155678</v>
      </c>
      <c r="L36" s="48">
        <f t="shared" si="69"/>
        <v>156405</v>
      </c>
      <c r="M36" s="48">
        <f t="shared" si="69"/>
        <v>312083</v>
      </c>
      <c r="N36" s="48">
        <f t="shared" si="69"/>
        <v>9008.11</v>
      </c>
      <c r="O36" s="48">
        <f t="shared" si="69"/>
        <v>44497.61</v>
      </c>
      <c r="P36" s="48">
        <f t="shared" si="69"/>
        <v>53505.72</v>
      </c>
      <c r="Q36" s="48">
        <f t="shared" si="69"/>
        <v>23683</v>
      </c>
      <c r="R36" s="48">
        <f t="shared" si="69"/>
        <v>173218</v>
      </c>
      <c r="S36" s="48">
        <f t="shared" si="69"/>
        <v>196901</v>
      </c>
      <c r="T36" s="48">
        <f t="shared" si="69"/>
        <v>52243.51999999999</v>
      </c>
      <c r="U36" s="48">
        <f t="shared" si="69"/>
        <v>63853.189999999995</v>
      </c>
      <c r="V36" s="48">
        <f t="shared" si="69"/>
        <v>116096.70999999999</v>
      </c>
      <c r="W36" s="48">
        <f t="shared" si="69"/>
        <v>5033</v>
      </c>
      <c r="X36" s="48">
        <f t="shared" si="69"/>
        <v>13093</v>
      </c>
      <c r="Y36" s="48">
        <f t="shared" si="69"/>
        <v>17513</v>
      </c>
      <c r="Z36" s="48">
        <f t="shared" si="69"/>
        <v>9352.5700000000015</v>
      </c>
      <c r="AA36" s="48">
        <f t="shared" si="69"/>
        <v>32657.599999999999</v>
      </c>
      <c r="AB36" s="48">
        <f t="shared" si="69"/>
        <v>42010.17</v>
      </c>
      <c r="AC36" s="48">
        <f t="shared" si="69"/>
        <v>36785</v>
      </c>
      <c r="AD36" s="48">
        <f t="shared" si="69"/>
        <v>166990</v>
      </c>
      <c r="AE36" s="48">
        <f t="shared" si="69"/>
        <v>203775</v>
      </c>
      <c r="AF36" s="48">
        <f t="shared" si="69"/>
        <v>44521</v>
      </c>
      <c r="AG36" s="48">
        <f t="shared" si="69"/>
        <v>172786</v>
      </c>
      <c r="AH36" s="48">
        <f t="shared" ref="AH36:BM36" si="70">SUM(AH22:AH35)</f>
        <v>217307</v>
      </c>
      <c r="AI36" s="48">
        <f t="shared" si="70"/>
        <v>95418</v>
      </c>
      <c r="AJ36" s="48">
        <f t="shared" si="70"/>
        <v>312531</v>
      </c>
      <c r="AK36" s="48">
        <f t="shared" si="70"/>
        <v>407949</v>
      </c>
      <c r="AL36" s="48">
        <f t="shared" si="70"/>
        <v>47559</v>
      </c>
      <c r="AM36" s="48">
        <f t="shared" si="70"/>
        <v>241436</v>
      </c>
      <c r="AN36" s="48">
        <f t="shared" si="70"/>
        <v>288995</v>
      </c>
      <c r="AO36" s="48">
        <f t="shared" si="70"/>
        <v>2743</v>
      </c>
      <c r="AP36" s="48">
        <f t="shared" si="70"/>
        <v>7509</v>
      </c>
      <c r="AQ36" s="48">
        <f t="shared" si="70"/>
        <v>10252</v>
      </c>
      <c r="AR36" s="48">
        <f t="shared" si="70"/>
        <v>18088.87</v>
      </c>
      <c r="AS36" s="48">
        <f t="shared" si="70"/>
        <v>46391.210000000006</v>
      </c>
      <c r="AT36" s="48">
        <f t="shared" si="70"/>
        <v>64480.079999999994</v>
      </c>
      <c r="AU36" s="48">
        <f t="shared" si="70"/>
        <v>2940.72</v>
      </c>
      <c r="AV36" s="48">
        <f t="shared" si="70"/>
        <v>20261.11</v>
      </c>
      <c r="AW36" s="48">
        <f t="shared" si="70"/>
        <v>23201.829999999998</v>
      </c>
      <c r="AX36" s="48">
        <f t="shared" si="70"/>
        <v>7395.23</v>
      </c>
      <c r="AY36" s="48">
        <f t="shared" si="70"/>
        <v>12806.189999999999</v>
      </c>
      <c r="AZ36" s="48">
        <f t="shared" si="70"/>
        <v>20201.419999999998</v>
      </c>
      <c r="BA36" s="48">
        <f t="shared" si="70"/>
        <v>6669.99</v>
      </c>
      <c r="BB36" s="48">
        <f t="shared" si="70"/>
        <v>24588.7</v>
      </c>
      <c r="BC36" s="48">
        <f t="shared" si="70"/>
        <v>31258.69</v>
      </c>
      <c r="BD36" s="48">
        <f t="shared" si="70"/>
        <v>1113.19</v>
      </c>
      <c r="BE36" s="48">
        <f t="shared" si="70"/>
        <v>414603.32000000007</v>
      </c>
      <c r="BF36" s="48">
        <f t="shared" si="70"/>
        <v>415716.51</v>
      </c>
      <c r="BG36" s="48">
        <f t="shared" si="70"/>
        <v>3556</v>
      </c>
      <c r="BH36" s="48">
        <f t="shared" si="70"/>
        <v>7391</v>
      </c>
      <c r="BI36" s="48">
        <f t="shared" si="70"/>
        <v>10947</v>
      </c>
      <c r="BJ36" s="48">
        <f t="shared" si="70"/>
        <v>3216</v>
      </c>
      <c r="BK36" s="48">
        <f t="shared" si="70"/>
        <v>8922</v>
      </c>
      <c r="BL36" s="48">
        <f t="shared" si="70"/>
        <v>12138</v>
      </c>
      <c r="BM36" s="48">
        <f t="shared" si="70"/>
        <v>52612</v>
      </c>
      <c r="BN36" s="48">
        <f t="shared" ref="BN36:CP36" si="71">SUM(BN22:BN35)</f>
        <v>287427</v>
      </c>
      <c r="BO36" s="48">
        <f t="shared" si="71"/>
        <v>340039</v>
      </c>
      <c r="BP36" s="48">
        <f t="shared" si="71"/>
        <v>25686.149999999998</v>
      </c>
      <c r="BQ36" s="48">
        <f t="shared" si="71"/>
        <v>116597.63999999998</v>
      </c>
      <c r="BR36" s="48">
        <f t="shared" si="71"/>
        <v>142283.79</v>
      </c>
      <c r="BS36" s="48">
        <f t="shared" si="71"/>
        <v>43874</v>
      </c>
      <c r="BT36" s="48">
        <f t="shared" si="71"/>
        <v>136653</v>
      </c>
      <c r="BU36" s="48">
        <f t="shared" si="71"/>
        <v>180527</v>
      </c>
      <c r="BV36" s="48">
        <f t="shared" si="71"/>
        <v>2504</v>
      </c>
      <c r="BW36" s="48">
        <f t="shared" si="71"/>
        <v>32888</v>
      </c>
      <c r="BX36" s="48">
        <f t="shared" si="71"/>
        <v>35392</v>
      </c>
      <c r="BY36" s="48">
        <f t="shared" si="71"/>
        <v>38220</v>
      </c>
      <c r="BZ36" s="48">
        <f t="shared" si="71"/>
        <v>64523</v>
      </c>
      <c r="CA36" s="48">
        <f t="shared" si="71"/>
        <v>102743</v>
      </c>
      <c r="CB36" s="48">
        <f t="shared" si="71"/>
        <v>43829</v>
      </c>
      <c r="CC36" s="48">
        <f t="shared" si="71"/>
        <v>186613</v>
      </c>
      <c r="CD36" s="48">
        <f t="shared" si="71"/>
        <v>230442</v>
      </c>
      <c r="CE36" s="48">
        <f t="shared" si="71"/>
        <v>124947.20999999999</v>
      </c>
      <c r="CF36" s="48">
        <f t="shared" si="71"/>
        <v>301130.75</v>
      </c>
      <c r="CG36" s="48">
        <f t="shared" si="71"/>
        <v>426077.95999999996</v>
      </c>
      <c r="CH36" s="48">
        <f t="shared" si="71"/>
        <v>11328</v>
      </c>
      <c r="CI36" s="48">
        <f t="shared" si="71"/>
        <v>227659</v>
      </c>
      <c r="CJ36" s="48">
        <f t="shared" si="71"/>
        <v>238987</v>
      </c>
      <c r="CK36" s="48">
        <f t="shared" si="71"/>
        <v>35359</v>
      </c>
      <c r="CL36" s="48">
        <f t="shared" si="71"/>
        <v>335662</v>
      </c>
      <c r="CM36" s="48">
        <f t="shared" si="71"/>
        <v>371021</v>
      </c>
      <c r="CN36" s="48">
        <f t="shared" si="71"/>
        <v>25001</v>
      </c>
      <c r="CO36" s="48">
        <f t="shared" si="71"/>
        <v>81307</v>
      </c>
      <c r="CP36" s="48">
        <f t="shared" si="71"/>
        <v>106308</v>
      </c>
    </row>
    <row r="37" spans="1:94" s="49" customFormat="1" x14ac:dyDescent="0.25">
      <c r="A37" s="45" t="s">
        <v>40</v>
      </c>
      <c r="B37" s="48">
        <f t="shared" ref="B37:AG37" si="72">B36+B20</f>
        <v>18764</v>
      </c>
      <c r="C37" s="48">
        <f t="shared" si="72"/>
        <v>53967</v>
      </c>
      <c r="D37" s="48">
        <f t="shared" si="72"/>
        <v>72731</v>
      </c>
      <c r="E37" s="48">
        <f t="shared" si="72"/>
        <v>31221</v>
      </c>
      <c r="F37" s="48">
        <f t="shared" si="72"/>
        <v>103806</v>
      </c>
      <c r="G37" s="48">
        <f t="shared" si="72"/>
        <v>135027</v>
      </c>
      <c r="H37" s="48">
        <f t="shared" si="72"/>
        <v>360023</v>
      </c>
      <c r="I37" s="48">
        <f t="shared" si="72"/>
        <v>1282412</v>
      </c>
      <c r="J37" s="48">
        <f t="shared" si="72"/>
        <v>1642435</v>
      </c>
      <c r="K37" s="48">
        <f t="shared" si="72"/>
        <v>474138</v>
      </c>
      <c r="L37" s="48">
        <f t="shared" si="72"/>
        <v>1908052</v>
      </c>
      <c r="M37" s="48">
        <f t="shared" si="72"/>
        <v>2382190</v>
      </c>
      <c r="N37" s="48">
        <f t="shared" si="72"/>
        <v>89338.94</v>
      </c>
      <c r="O37" s="48">
        <f t="shared" si="72"/>
        <v>187180.21999999997</v>
      </c>
      <c r="P37" s="48">
        <f t="shared" si="72"/>
        <v>276519.16000000003</v>
      </c>
      <c r="Q37" s="48">
        <f t="shared" si="72"/>
        <v>140148</v>
      </c>
      <c r="R37" s="48">
        <f t="shared" si="72"/>
        <v>1025070</v>
      </c>
      <c r="S37" s="48">
        <f t="shared" si="72"/>
        <v>1165218</v>
      </c>
      <c r="T37" s="48">
        <f t="shared" si="72"/>
        <v>603873.6</v>
      </c>
      <c r="U37" s="48">
        <f t="shared" si="72"/>
        <v>738067.73</v>
      </c>
      <c r="V37" s="48">
        <f t="shared" si="72"/>
        <v>1341941.33</v>
      </c>
      <c r="W37" s="48">
        <f t="shared" si="72"/>
        <v>9158</v>
      </c>
      <c r="X37" s="48">
        <f t="shared" si="72"/>
        <v>30675</v>
      </c>
      <c r="Y37" s="48">
        <f t="shared" si="72"/>
        <v>39220</v>
      </c>
      <c r="Z37" s="48">
        <f t="shared" si="72"/>
        <v>122075.68000000001</v>
      </c>
      <c r="AA37" s="48">
        <f t="shared" si="72"/>
        <v>426267.75</v>
      </c>
      <c r="AB37" s="48">
        <f t="shared" si="72"/>
        <v>548343.42999999993</v>
      </c>
      <c r="AC37" s="48">
        <f t="shared" si="72"/>
        <v>127634</v>
      </c>
      <c r="AD37" s="48">
        <f t="shared" si="72"/>
        <v>548631</v>
      </c>
      <c r="AE37" s="48">
        <f t="shared" si="72"/>
        <v>676265</v>
      </c>
      <c r="AF37" s="48">
        <f t="shared" si="72"/>
        <v>351471</v>
      </c>
      <c r="AG37" s="48">
        <f t="shared" si="72"/>
        <v>1364050</v>
      </c>
      <c r="AH37" s="48">
        <f t="shared" ref="AH37:BM37" si="73">AH36+AH20</f>
        <v>1715521</v>
      </c>
      <c r="AI37" s="48">
        <f t="shared" si="73"/>
        <v>859964</v>
      </c>
      <c r="AJ37" s="48">
        <f t="shared" si="73"/>
        <v>2859506</v>
      </c>
      <c r="AK37" s="48">
        <f t="shared" si="73"/>
        <v>3719470</v>
      </c>
      <c r="AL37" s="48">
        <f t="shared" si="73"/>
        <v>217178</v>
      </c>
      <c r="AM37" s="48">
        <f t="shared" si="73"/>
        <v>1102506</v>
      </c>
      <c r="AN37" s="48">
        <f t="shared" si="73"/>
        <v>1319684</v>
      </c>
      <c r="AO37" s="48">
        <f t="shared" si="73"/>
        <v>29612</v>
      </c>
      <c r="AP37" s="48">
        <f t="shared" si="73"/>
        <v>81053</v>
      </c>
      <c r="AQ37" s="48">
        <f t="shared" si="73"/>
        <v>110665</v>
      </c>
      <c r="AR37" s="48">
        <f t="shared" si="73"/>
        <v>87265.04</v>
      </c>
      <c r="AS37" s="48">
        <f t="shared" si="73"/>
        <v>223802.45</v>
      </c>
      <c r="AT37" s="48">
        <f t="shared" si="73"/>
        <v>311067.49</v>
      </c>
      <c r="AU37" s="48">
        <f t="shared" si="73"/>
        <v>41807.990000000005</v>
      </c>
      <c r="AV37" s="48">
        <f t="shared" si="73"/>
        <v>288051.76</v>
      </c>
      <c r="AW37" s="48">
        <f t="shared" si="73"/>
        <v>329859.75000000006</v>
      </c>
      <c r="AX37" s="48">
        <f t="shared" si="73"/>
        <v>26472.69</v>
      </c>
      <c r="AY37" s="48">
        <f t="shared" si="73"/>
        <v>58049.539999999994</v>
      </c>
      <c r="AZ37" s="48">
        <f t="shared" si="73"/>
        <v>84522.23</v>
      </c>
      <c r="BA37" s="48">
        <f t="shared" si="73"/>
        <v>63164.889999999992</v>
      </c>
      <c r="BB37" s="48">
        <f t="shared" si="73"/>
        <v>116230.06999999999</v>
      </c>
      <c r="BC37" s="48">
        <f t="shared" si="73"/>
        <v>179394.96</v>
      </c>
      <c r="BD37" s="48">
        <f t="shared" si="73"/>
        <v>8016.6200000000008</v>
      </c>
      <c r="BE37" s="48">
        <f t="shared" si="73"/>
        <v>2984940.6700000009</v>
      </c>
      <c r="BF37" s="48">
        <f t="shared" si="73"/>
        <v>2992957.29</v>
      </c>
      <c r="BG37" s="48">
        <f t="shared" si="73"/>
        <v>23895</v>
      </c>
      <c r="BH37" s="48">
        <f t="shared" si="73"/>
        <v>35870</v>
      </c>
      <c r="BI37" s="48">
        <f t="shared" si="73"/>
        <v>59765</v>
      </c>
      <c r="BJ37" s="48">
        <f t="shared" si="73"/>
        <v>20578</v>
      </c>
      <c r="BK37" s="48">
        <f t="shared" si="73"/>
        <v>57100</v>
      </c>
      <c r="BL37" s="48">
        <f t="shared" si="73"/>
        <v>77678</v>
      </c>
      <c r="BM37" s="48">
        <f t="shared" si="73"/>
        <v>215307</v>
      </c>
      <c r="BN37" s="48">
        <f t="shared" ref="BN37:CP37" si="74">BN36+BN20</f>
        <v>1176243</v>
      </c>
      <c r="BO37" s="48">
        <f t="shared" si="74"/>
        <v>1391550</v>
      </c>
      <c r="BP37" s="48">
        <f t="shared" si="74"/>
        <v>126060.47</v>
      </c>
      <c r="BQ37" s="48">
        <f t="shared" si="74"/>
        <v>572228.72</v>
      </c>
      <c r="BR37" s="48">
        <f t="shared" si="74"/>
        <v>698289.19000000006</v>
      </c>
      <c r="BS37" s="48">
        <f t="shared" si="74"/>
        <v>270333</v>
      </c>
      <c r="BT37" s="48">
        <f t="shared" si="74"/>
        <v>722881</v>
      </c>
      <c r="BU37" s="48">
        <f t="shared" si="74"/>
        <v>993214</v>
      </c>
      <c r="BV37" s="48">
        <f t="shared" si="74"/>
        <v>181720</v>
      </c>
      <c r="BW37" s="48">
        <f t="shared" si="74"/>
        <v>890305</v>
      </c>
      <c r="BX37" s="48">
        <f t="shared" si="74"/>
        <v>1072025</v>
      </c>
      <c r="BY37" s="48">
        <f t="shared" si="74"/>
        <v>320048</v>
      </c>
      <c r="BZ37" s="48">
        <f t="shared" si="74"/>
        <v>540303</v>
      </c>
      <c r="CA37" s="48">
        <f t="shared" si="74"/>
        <v>860351</v>
      </c>
      <c r="CB37" s="48">
        <f t="shared" si="74"/>
        <v>348584</v>
      </c>
      <c r="CC37" s="48">
        <f t="shared" si="74"/>
        <v>1484193</v>
      </c>
      <c r="CD37" s="48">
        <f t="shared" si="74"/>
        <v>1832777</v>
      </c>
      <c r="CE37" s="48">
        <f t="shared" si="74"/>
        <v>2186273.5</v>
      </c>
      <c r="CF37" s="48">
        <f t="shared" si="74"/>
        <v>5048870.05</v>
      </c>
      <c r="CG37" s="48">
        <f t="shared" si="74"/>
        <v>7235143.5499999998</v>
      </c>
      <c r="CH37" s="48">
        <f t="shared" si="74"/>
        <v>105426</v>
      </c>
      <c r="CI37" s="48">
        <f t="shared" si="74"/>
        <v>2549168</v>
      </c>
      <c r="CJ37" s="48">
        <f t="shared" si="74"/>
        <v>2654594</v>
      </c>
      <c r="CK37" s="48">
        <f t="shared" si="74"/>
        <v>356843</v>
      </c>
      <c r="CL37" s="48">
        <f t="shared" si="74"/>
        <v>3387576</v>
      </c>
      <c r="CM37" s="48">
        <f t="shared" si="74"/>
        <v>3744419</v>
      </c>
      <c r="CN37" s="48">
        <f t="shared" si="74"/>
        <v>84131</v>
      </c>
      <c r="CO37" s="48">
        <f t="shared" si="74"/>
        <v>273600</v>
      </c>
      <c r="CP37" s="48">
        <f t="shared" si="74"/>
        <v>357731</v>
      </c>
    </row>
  </sheetData>
  <mergeCells count="32">
    <mergeCell ref="AX3:AZ3"/>
    <mergeCell ref="BA3:BC3"/>
    <mergeCell ref="BP3:BR3"/>
    <mergeCell ref="BD3:BF3"/>
    <mergeCell ref="BG3:BI3"/>
    <mergeCell ref="BJ3:BL3"/>
    <mergeCell ref="BM3:BO3"/>
    <mergeCell ref="K3:M3"/>
    <mergeCell ref="Q3:S3"/>
    <mergeCell ref="AO3:AQ3"/>
    <mergeCell ref="AR3:AT3"/>
    <mergeCell ref="AC3:AE3"/>
    <mergeCell ref="W3:Y3"/>
    <mergeCell ref="AF3:AH3"/>
    <mergeCell ref="AI3:AK3"/>
    <mergeCell ref="AL3:AN3"/>
    <mergeCell ref="A3:A4"/>
    <mergeCell ref="CN3:CP3"/>
    <mergeCell ref="CE3:CG3"/>
    <mergeCell ref="CH3:CJ3"/>
    <mergeCell ref="BV3:BX3"/>
    <mergeCell ref="BY3:CA3"/>
    <mergeCell ref="CB3:CD3"/>
    <mergeCell ref="CK3:CM3"/>
    <mergeCell ref="BS3:BU3"/>
    <mergeCell ref="AU3:AW3"/>
    <mergeCell ref="N3:P3"/>
    <mergeCell ref="T3:V3"/>
    <mergeCell ref="Z3:AB3"/>
    <mergeCell ref="B3:D3"/>
    <mergeCell ref="E3:G3"/>
    <mergeCell ref="H3:J3"/>
  </mergeCells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8.85546875" style="22" customWidth="1"/>
    <col min="2" max="32" width="16" style="22" customWidth="1"/>
    <col min="33" max="33" width="16" style="7" customWidth="1"/>
    <col min="34" max="16384" width="9.140625" style="22"/>
  </cols>
  <sheetData>
    <row r="1" spans="1:33" ht="18.75" x14ac:dyDescent="0.3">
      <c r="A1" s="12" t="s">
        <v>249</v>
      </c>
    </row>
    <row r="2" spans="1:33" x14ac:dyDescent="0.25">
      <c r="A2" s="13" t="s">
        <v>98</v>
      </c>
    </row>
    <row r="3" spans="1:33" x14ac:dyDescent="0.25">
      <c r="A3" s="1" t="s">
        <v>0</v>
      </c>
      <c r="B3" s="104" t="s">
        <v>1</v>
      </c>
      <c r="C3" s="104" t="s">
        <v>233</v>
      </c>
      <c r="D3" s="104" t="s">
        <v>2</v>
      </c>
      <c r="E3" s="104" t="s">
        <v>3</v>
      </c>
      <c r="F3" s="104" t="s">
        <v>242</v>
      </c>
      <c r="G3" s="104" t="s">
        <v>234</v>
      </c>
      <c r="H3" s="104" t="s">
        <v>5</v>
      </c>
      <c r="I3" s="104" t="s">
        <v>4</v>
      </c>
      <c r="J3" s="104" t="s">
        <v>6</v>
      </c>
      <c r="K3" s="104" t="s">
        <v>254</v>
      </c>
      <c r="L3" s="104" t="s">
        <v>7</v>
      </c>
      <c r="M3" s="104" t="s">
        <v>8</v>
      </c>
      <c r="N3" s="104" t="s">
        <v>9</v>
      </c>
      <c r="O3" s="104" t="s">
        <v>241</v>
      </c>
      <c r="P3" s="104" t="s">
        <v>10</v>
      </c>
      <c r="Q3" s="104" t="s">
        <v>11</v>
      </c>
      <c r="R3" s="104" t="s">
        <v>235</v>
      </c>
      <c r="S3" s="104" t="s">
        <v>253</v>
      </c>
      <c r="T3" s="104" t="s">
        <v>12</v>
      </c>
      <c r="U3" s="104" t="s">
        <v>236</v>
      </c>
      <c r="V3" s="104" t="s">
        <v>237</v>
      </c>
      <c r="W3" s="104" t="s">
        <v>240</v>
      </c>
      <c r="X3" s="104" t="s">
        <v>13</v>
      </c>
      <c r="Y3" s="104" t="s">
        <v>14</v>
      </c>
      <c r="Z3" s="104" t="s">
        <v>15</v>
      </c>
      <c r="AA3" s="104" t="s">
        <v>16</v>
      </c>
      <c r="AB3" s="104" t="s">
        <v>17</v>
      </c>
      <c r="AC3" s="103" t="s">
        <v>238</v>
      </c>
      <c r="AD3" s="103" t="s">
        <v>239</v>
      </c>
      <c r="AE3" s="103" t="s">
        <v>18</v>
      </c>
      <c r="AF3" s="104" t="s">
        <v>19</v>
      </c>
      <c r="AG3" s="84" t="s">
        <v>20</v>
      </c>
    </row>
    <row r="4" spans="1:33" x14ac:dyDescent="0.25">
      <c r="A4" s="14" t="s">
        <v>41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63"/>
    </row>
    <row r="5" spans="1:33" x14ac:dyDescent="0.25">
      <c r="A5" s="20" t="s">
        <v>42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64">
        <f t="shared" ref="AG5:AG12" si="0">SUM(B5:AF5)</f>
        <v>0</v>
      </c>
    </row>
    <row r="6" spans="1:33" x14ac:dyDescent="0.25">
      <c r="A6" s="20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64">
        <f t="shared" si="0"/>
        <v>0</v>
      </c>
    </row>
    <row r="7" spans="1:33" x14ac:dyDescent="0.25">
      <c r="A7" s="20" t="s">
        <v>44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87"/>
      <c r="T7" s="24">
        <v>2281.2600000000002</v>
      </c>
      <c r="U7" s="24"/>
      <c r="V7" s="24"/>
      <c r="W7" s="24"/>
      <c r="X7" s="24"/>
      <c r="Y7" s="24"/>
      <c r="Z7" s="24"/>
      <c r="AA7" s="24"/>
      <c r="AB7" s="24"/>
      <c r="AC7" s="24">
        <v>27708.560000000001</v>
      </c>
      <c r="AD7"/>
      <c r="AE7" s="24">
        <v>14736</v>
      </c>
      <c r="AF7" s="24"/>
      <c r="AG7" s="64">
        <f t="shared" si="0"/>
        <v>44725.82</v>
      </c>
    </row>
    <row r="8" spans="1:33" x14ac:dyDescent="0.25">
      <c r="A8" s="20" t="s">
        <v>45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64">
        <f t="shared" si="0"/>
        <v>0</v>
      </c>
    </row>
    <row r="9" spans="1:33" x14ac:dyDescent="0.25">
      <c r="A9" s="20" t="s">
        <v>46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64">
        <f t="shared" si="0"/>
        <v>0</v>
      </c>
    </row>
    <row r="10" spans="1:33" x14ac:dyDescent="0.25">
      <c r="A10" s="20" t="s">
        <v>47</v>
      </c>
      <c r="B10" s="24"/>
      <c r="C10" s="24"/>
      <c r="D10" s="24">
        <v>1467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>
        <v>4505.63</v>
      </c>
      <c r="AD10">
        <v>13641</v>
      </c>
      <c r="AE10" s="24">
        <v>3798</v>
      </c>
      <c r="AF10" s="24"/>
      <c r="AG10" s="64">
        <f t="shared" si="0"/>
        <v>23411.63</v>
      </c>
    </row>
    <row r="11" spans="1:33" x14ac:dyDescent="0.25">
      <c r="A11" s="20" t="s">
        <v>48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>
        <v>150.16</v>
      </c>
      <c r="R11" s="24"/>
      <c r="S11" s="87"/>
      <c r="T11" s="24">
        <v>1176.28</v>
      </c>
      <c r="U11" s="24"/>
      <c r="V11" s="24"/>
      <c r="W11" s="24"/>
      <c r="X11" s="24"/>
      <c r="Y11" s="24"/>
      <c r="Z11" s="24"/>
      <c r="AA11" s="24"/>
      <c r="AB11" s="24"/>
      <c r="AC11" s="24"/>
      <c r="AD11" s="24">
        <v>643</v>
      </c>
      <c r="AE11" s="24">
        <v>1152</v>
      </c>
      <c r="AF11" s="24"/>
      <c r="AG11" s="64">
        <f t="shared" si="0"/>
        <v>3121.44</v>
      </c>
    </row>
    <row r="12" spans="1:33" s="7" customFormat="1" x14ac:dyDescent="0.25">
      <c r="A12" s="3" t="s">
        <v>40</v>
      </c>
      <c r="B12" s="10">
        <f>SUM(B5:B11)</f>
        <v>0</v>
      </c>
      <c r="C12" s="10">
        <f t="shared" ref="C12:AB12" si="1">SUM(C5:C11)</f>
        <v>0</v>
      </c>
      <c r="D12" s="10">
        <f t="shared" si="1"/>
        <v>1467</v>
      </c>
      <c r="E12" s="10">
        <f t="shared" si="1"/>
        <v>0</v>
      </c>
      <c r="F12" s="10">
        <f t="shared" si="1"/>
        <v>0</v>
      </c>
      <c r="G12" s="10">
        <f t="shared" si="1"/>
        <v>0</v>
      </c>
      <c r="H12" s="10">
        <f t="shared" si="1"/>
        <v>0</v>
      </c>
      <c r="I12" s="10">
        <f t="shared" si="1"/>
        <v>0</v>
      </c>
      <c r="J12" s="10">
        <f t="shared" si="1"/>
        <v>0</v>
      </c>
      <c r="K12" s="10">
        <f t="shared" si="1"/>
        <v>0</v>
      </c>
      <c r="L12" s="10">
        <f t="shared" si="1"/>
        <v>0</v>
      </c>
      <c r="M12" s="10">
        <f t="shared" si="1"/>
        <v>0</v>
      </c>
      <c r="N12" s="10">
        <f t="shared" si="1"/>
        <v>0</v>
      </c>
      <c r="O12" s="10">
        <f t="shared" si="1"/>
        <v>0</v>
      </c>
      <c r="P12" s="10">
        <f t="shared" si="1"/>
        <v>0</v>
      </c>
      <c r="Q12" s="10">
        <f t="shared" si="1"/>
        <v>150.16</v>
      </c>
      <c r="R12" s="10">
        <f t="shared" si="1"/>
        <v>0</v>
      </c>
      <c r="S12" s="10">
        <f t="shared" si="1"/>
        <v>0</v>
      </c>
      <c r="T12" s="10">
        <f t="shared" si="1"/>
        <v>3457.54</v>
      </c>
      <c r="U12" s="10">
        <f t="shared" si="1"/>
        <v>0</v>
      </c>
      <c r="V12" s="10">
        <f t="shared" si="1"/>
        <v>0</v>
      </c>
      <c r="W12" s="10">
        <f t="shared" si="1"/>
        <v>0</v>
      </c>
      <c r="X12" s="10">
        <f t="shared" si="1"/>
        <v>0</v>
      </c>
      <c r="Y12" s="10">
        <f t="shared" si="1"/>
        <v>0</v>
      </c>
      <c r="Z12" s="10">
        <f t="shared" si="1"/>
        <v>0</v>
      </c>
      <c r="AA12" s="10">
        <f t="shared" si="1"/>
        <v>0</v>
      </c>
      <c r="AB12" s="10">
        <f t="shared" si="1"/>
        <v>0</v>
      </c>
      <c r="AC12" s="10">
        <f t="shared" ref="AC12:AF12" si="2">SUM(AC5:AC11)</f>
        <v>32214.190000000002</v>
      </c>
      <c r="AD12" s="10">
        <f>SUM(AD5:AD11)</f>
        <v>14284</v>
      </c>
      <c r="AE12" s="10">
        <f t="shared" si="2"/>
        <v>19686</v>
      </c>
      <c r="AF12" s="10">
        <f t="shared" si="2"/>
        <v>0</v>
      </c>
      <c r="AG12" s="63">
        <f t="shared" si="0"/>
        <v>71258.89</v>
      </c>
    </row>
    <row r="13" spans="1:33" x14ac:dyDescent="0.25">
      <c r="A13" s="14" t="s">
        <v>49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63"/>
    </row>
    <row r="14" spans="1:33" x14ac:dyDescent="0.25">
      <c r="A14" s="20" t="s">
        <v>50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87"/>
      <c r="T14" s="24">
        <v>533.98</v>
      </c>
      <c r="U14" s="24"/>
      <c r="V14" s="24"/>
      <c r="W14" s="24"/>
      <c r="X14" s="24"/>
      <c r="Y14" s="24"/>
      <c r="Z14" s="24"/>
      <c r="AA14" s="24"/>
      <c r="AB14" s="24"/>
      <c r="AC14" s="24">
        <v>2224.35</v>
      </c>
      <c r="AD14" s="24">
        <v>1350</v>
      </c>
      <c r="AE14" s="24">
        <v>3798</v>
      </c>
      <c r="AF14" s="24"/>
      <c r="AG14" s="64">
        <f t="shared" ref="AG14:AG19" si="3">SUM(B14:AF14)</f>
        <v>7906.33</v>
      </c>
    </row>
    <row r="15" spans="1:33" x14ac:dyDescent="0.25">
      <c r="A15" s="20" t="s">
        <v>51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64">
        <f t="shared" si="3"/>
        <v>0</v>
      </c>
    </row>
    <row r="16" spans="1:33" x14ac:dyDescent="0.25">
      <c r="A16" s="20" t="s">
        <v>52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64">
        <f t="shared" si="3"/>
        <v>0</v>
      </c>
    </row>
    <row r="17" spans="1:33" x14ac:dyDescent="0.25">
      <c r="A17" s="20" t="s">
        <v>53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87"/>
      <c r="T17" s="24">
        <v>2917.17</v>
      </c>
      <c r="U17" s="24"/>
      <c r="V17" s="24"/>
      <c r="W17" s="24"/>
      <c r="X17" s="24"/>
      <c r="Y17" s="24"/>
      <c r="Z17" s="24"/>
      <c r="AA17" s="24"/>
      <c r="AB17" s="24"/>
      <c r="AC17" s="24"/>
      <c r="AD17" s="24">
        <v>1431</v>
      </c>
      <c r="AE17" s="24">
        <v>1592</v>
      </c>
      <c r="AF17" s="24"/>
      <c r="AG17" s="64">
        <f t="shared" si="3"/>
        <v>5940.17</v>
      </c>
    </row>
    <row r="18" spans="1:33" x14ac:dyDescent="0.25">
      <c r="A18" s="20" t="s">
        <v>54</v>
      </c>
      <c r="B18" s="24"/>
      <c r="C18" s="24"/>
      <c r="D18" s="24">
        <v>1467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>
        <v>150.16</v>
      </c>
      <c r="R18" s="24"/>
      <c r="S18" s="87"/>
      <c r="T18" s="24">
        <v>6.39</v>
      </c>
      <c r="U18" s="24"/>
      <c r="V18" s="24"/>
      <c r="W18" s="24"/>
      <c r="X18" s="24"/>
      <c r="Y18" s="24"/>
      <c r="Z18" s="24"/>
      <c r="AA18" s="24"/>
      <c r="AB18" s="24"/>
      <c r="AC18" s="24">
        <v>29989.84</v>
      </c>
      <c r="AD18" s="24">
        <v>11503</v>
      </c>
      <c r="AE18" s="24">
        <v>14296</v>
      </c>
      <c r="AF18" s="24"/>
      <c r="AG18" s="64">
        <f t="shared" si="3"/>
        <v>57412.39</v>
      </c>
    </row>
    <row r="19" spans="1:33" s="7" customFormat="1" x14ac:dyDescent="0.25">
      <c r="A19" s="3" t="s">
        <v>40</v>
      </c>
      <c r="B19" s="10">
        <f>SUM(B14:B18)</f>
        <v>0</v>
      </c>
      <c r="C19" s="10">
        <f t="shared" ref="C19:AB19" si="4">SUM(C14:C18)</f>
        <v>0</v>
      </c>
      <c r="D19" s="10">
        <f t="shared" si="4"/>
        <v>1467</v>
      </c>
      <c r="E19" s="10">
        <f t="shared" si="4"/>
        <v>0</v>
      </c>
      <c r="F19" s="10">
        <f t="shared" si="4"/>
        <v>0</v>
      </c>
      <c r="G19" s="10">
        <f t="shared" si="4"/>
        <v>0</v>
      </c>
      <c r="H19" s="10">
        <f t="shared" si="4"/>
        <v>0</v>
      </c>
      <c r="I19" s="10">
        <f t="shared" si="4"/>
        <v>0</v>
      </c>
      <c r="J19" s="10">
        <f t="shared" si="4"/>
        <v>0</v>
      </c>
      <c r="K19" s="10">
        <f t="shared" si="4"/>
        <v>0</v>
      </c>
      <c r="L19" s="10">
        <f t="shared" si="4"/>
        <v>0</v>
      </c>
      <c r="M19" s="10">
        <f t="shared" si="4"/>
        <v>0</v>
      </c>
      <c r="N19" s="10">
        <f t="shared" si="4"/>
        <v>0</v>
      </c>
      <c r="O19" s="10">
        <f t="shared" si="4"/>
        <v>0</v>
      </c>
      <c r="P19" s="10">
        <f t="shared" si="4"/>
        <v>0</v>
      </c>
      <c r="Q19" s="10">
        <f t="shared" si="4"/>
        <v>150.16</v>
      </c>
      <c r="R19" s="10">
        <f t="shared" si="4"/>
        <v>0</v>
      </c>
      <c r="S19" s="10">
        <f t="shared" si="4"/>
        <v>0</v>
      </c>
      <c r="T19" s="10">
        <f t="shared" si="4"/>
        <v>3457.54</v>
      </c>
      <c r="U19" s="10">
        <f t="shared" si="4"/>
        <v>0</v>
      </c>
      <c r="V19" s="10">
        <f t="shared" si="4"/>
        <v>0</v>
      </c>
      <c r="W19" s="10">
        <f t="shared" si="4"/>
        <v>0</v>
      </c>
      <c r="X19" s="10">
        <f t="shared" si="4"/>
        <v>0</v>
      </c>
      <c r="Y19" s="10">
        <f t="shared" si="4"/>
        <v>0</v>
      </c>
      <c r="Z19" s="10">
        <f t="shared" si="4"/>
        <v>0</v>
      </c>
      <c r="AA19" s="10">
        <f t="shared" si="4"/>
        <v>0</v>
      </c>
      <c r="AB19" s="10">
        <f t="shared" si="4"/>
        <v>0</v>
      </c>
      <c r="AC19" s="10">
        <f t="shared" ref="AC19:AF19" si="5">SUM(AC14:AC18)</f>
        <v>32214.19</v>
      </c>
      <c r="AD19" s="10">
        <f t="shared" si="5"/>
        <v>14284</v>
      </c>
      <c r="AE19" s="10">
        <f t="shared" si="5"/>
        <v>19686</v>
      </c>
      <c r="AF19" s="10">
        <f t="shared" si="5"/>
        <v>0</v>
      </c>
      <c r="AG19" s="63">
        <f t="shared" si="3"/>
        <v>71258.89</v>
      </c>
    </row>
    <row r="20" spans="1:33" x14ac:dyDescent="0.25">
      <c r="A20" s="14" t="s">
        <v>55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63"/>
    </row>
    <row r="21" spans="1:33" x14ac:dyDescent="0.25">
      <c r="A21" s="20" t="s">
        <v>56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64">
        <f t="shared" ref="AG21:AG28" si="6">SUM(B21:AF21)</f>
        <v>0</v>
      </c>
    </row>
    <row r="22" spans="1:33" x14ac:dyDescent="0.25">
      <c r="A22" s="20" t="s">
        <v>44</v>
      </c>
      <c r="B22" s="24"/>
      <c r="C22" s="24"/>
      <c r="D22" s="24">
        <v>1467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>
        <v>150.16</v>
      </c>
      <c r="R22" s="24"/>
      <c r="S22" s="87"/>
      <c r="T22" s="24">
        <v>560.08000000000004</v>
      </c>
      <c r="U22" s="24"/>
      <c r="V22" s="24"/>
      <c r="W22" s="24"/>
      <c r="X22" s="24"/>
      <c r="Y22" s="24"/>
      <c r="Z22" s="24"/>
      <c r="AA22" s="24"/>
      <c r="AB22" s="24"/>
      <c r="AC22" s="24">
        <v>32214.19</v>
      </c>
      <c r="AD22" s="24">
        <v>12858</v>
      </c>
      <c r="AE22" s="24">
        <v>17994</v>
      </c>
      <c r="AF22" s="24"/>
      <c r="AG22" s="64">
        <f t="shared" si="6"/>
        <v>65243.43</v>
      </c>
    </row>
    <row r="23" spans="1:33" x14ac:dyDescent="0.25">
      <c r="A23" s="20" t="s">
        <v>45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64">
        <f t="shared" si="6"/>
        <v>0</v>
      </c>
    </row>
    <row r="24" spans="1:33" x14ac:dyDescent="0.25">
      <c r="A24" s="20" t="s">
        <v>57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64">
        <f t="shared" si="6"/>
        <v>0</v>
      </c>
    </row>
    <row r="25" spans="1:33" x14ac:dyDescent="0.25">
      <c r="A25" s="20" t="s">
        <v>44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87"/>
      <c r="T25" s="24">
        <v>2897.46</v>
      </c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>
        <v>1692</v>
      </c>
      <c r="AF25" s="24"/>
      <c r="AG25" s="64">
        <f t="shared" si="6"/>
        <v>4589.46</v>
      </c>
    </row>
    <row r="26" spans="1:33" x14ac:dyDescent="0.25">
      <c r="A26" s="20" t="s">
        <v>45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64">
        <f t="shared" si="6"/>
        <v>0</v>
      </c>
    </row>
    <row r="27" spans="1:33" x14ac:dyDescent="0.25">
      <c r="A27" s="20" t="s">
        <v>58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>
        <v>1426</v>
      </c>
      <c r="AE27" s="24"/>
      <c r="AF27" s="24"/>
      <c r="AG27" s="64">
        <f t="shared" si="6"/>
        <v>1426</v>
      </c>
    </row>
    <row r="28" spans="1:33" s="7" customFormat="1" x14ac:dyDescent="0.25">
      <c r="A28" s="3" t="s">
        <v>40</v>
      </c>
      <c r="B28" s="10">
        <f>SUM(B21:B27)</f>
        <v>0</v>
      </c>
      <c r="C28" s="10">
        <f t="shared" ref="C28:AB28" si="7">SUM(C21:C27)</f>
        <v>0</v>
      </c>
      <c r="D28" s="10">
        <f t="shared" si="7"/>
        <v>1467</v>
      </c>
      <c r="E28" s="10">
        <f t="shared" si="7"/>
        <v>0</v>
      </c>
      <c r="F28" s="10">
        <f t="shared" si="7"/>
        <v>0</v>
      </c>
      <c r="G28" s="10">
        <f t="shared" si="7"/>
        <v>0</v>
      </c>
      <c r="H28" s="10">
        <f t="shared" si="7"/>
        <v>0</v>
      </c>
      <c r="I28" s="10">
        <f t="shared" si="7"/>
        <v>0</v>
      </c>
      <c r="J28" s="10">
        <f t="shared" si="7"/>
        <v>0</v>
      </c>
      <c r="K28" s="10">
        <f t="shared" si="7"/>
        <v>0</v>
      </c>
      <c r="L28" s="10">
        <f t="shared" si="7"/>
        <v>0</v>
      </c>
      <c r="M28" s="10">
        <f t="shared" si="7"/>
        <v>0</v>
      </c>
      <c r="N28" s="10">
        <f t="shared" si="7"/>
        <v>0</v>
      </c>
      <c r="O28" s="10">
        <f t="shared" si="7"/>
        <v>0</v>
      </c>
      <c r="P28" s="10">
        <f t="shared" si="7"/>
        <v>0</v>
      </c>
      <c r="Q28" s="10">
        <f t="shared" si="7"/>
        <v>150.16</v>
      </c>
      <c r="R28" s="10">
        <f t="shared" si="7"/>
        <v>0</v>
      </c>
      <c r="S28" s="10">
        <f t="shared" si="7"/>
        <v>0</v>
      </c>
      <c r="T28" s="10">
        <f t="shared" si="7"/>
        <v>3457.54</v>
      </c>
      <c r="U28" s="10">
        <f t="shared" si="7"/>
        <v>0</v>
      </c>
      <c r="V28" s="10">
        <f t="shared" si="7"/>
        <v>0</v>
      </c>
      <c r="W28" s="10">
        <f t="shared" si="7"/>
        <v>0</v>
      </c>
      <c r="X28" s="10">
        <f t="shared" si="7"/>
        <v>0</v>
      </c>
      <c r="Y28" s="10">
        <f t="shared" si="7"/>
        <v>0</v>
      </c>
      <c r="Z28" s="10">
        <f t="shared" si="7"/>
        <v>0</v>
      </c>
      <c r="AA28" s="10">
        <f t="shared" si="7"/>
        <v>0</v>
      </c>
      <c r="AB28" s="10">
        <f t="shared" si="7"/>
        <v>0</v>
      </c>
      <c r="AC28" s="10">
        <f t="shared" ref="AC28:AF28" si="8">SUM(AC21:AC27)</f>
        <v>32214.19</v>
      </c>
      <c r="AD28" s="10">
        <f t="shared" si="8"/>
        <v>14284</v>
      </c>
      <c r="AE28" s="10">
        <f t="shared" si="8"/>
        <v>19686</v>
      </c>
      <c r="AF28" s="10">
        <f t="shared" si="8"/>
        <v>0</v>
      </c>
      <c r="AG28" s="63">
        <f t="shared" si="6"/>
        <v>71258.89</v>
      </c>
    </row>
    <row r="29" spans="1:33" x14ac:dyDescent="0.25">
      <c r="A29" s="14" t="s">
        <v>59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63"/>
    </row>
    <row r="30" spans="1:33" x14ac:dyDescent="0.25">
      <c r="A30" s="20" t="s">
        <v>60</v>
      </c>
      <c r="B30" s="24"/>
      <c r="C30" s="24"/>
      <c r="D30" s="24">
        <v>147</v>
      </c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87"/>
      <c r="T30" s="24">
        <v>71.680000000000007</v>
      </c>
      <c r="U30" s="24"/>
      <c r="V30" s="24"/>
      <c r="W30" s="24"/>
      <c r="X30" s="24"/>
      <c r="Y30" s="24"/>
      <c r="Z30" s="24"/>
      <c r="AA30" s="24"/>
      <c r="AB30" s="24"/>
      <c r="AC30" s="24">
        <v>476.61</v>
      </c>
      <c r="AD30" s="24">
        <v>410</v>
      </c>
      <c r="AE30" s="24">
        <v>856</v>
      </c>
      <c r="AF30" s="24"/>
      <c r="AG30" s="64">
        <f>SUM(B30:AF30)</f>
        <v>1961.29</v>
      </c>
    </row>
    <row r="31" spans="1:33" x14ac:dyDescent="0.25">
      <c r="A31" s="20" t="s">
        <v>61</v>
      </c>
      <c r="B31" s="24"/>
      <c r="C31" s="24"/>
      <c r="D31" s="24">
        <v>1320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>
        <v>150.16</v>
      </c>
      <c r="R31" s="24"/>
      <c r="S31" s="87"/>
      <c r="T31" s="24">
        <v>3385.86</v>
      </c>
      <c r="U31" s="24"/>
      <c r="V31" s="24"/>
      <c r="W31" s="24"/>
      <c r="X31" s="24"/>
      <c r="Y31" s="24"/>
      <c r="Z31" s="24"/>
      <c r="AA31" s="24"/>
      <c r="AB31" s="24"/>
      <c r="AC31" s="24">
        <v>31737.58</v>
      </c>
      <c r="AD31" s="24">
        <v>13874</v>
      </c>
      <c r="AE31" s="24">
        <v>18830</v>
      </c>
      <c r="AF31" s="24"/>
      <c r="AG31" s="64">
        <f>SUM(B31:AF31)</f>
        <v>69297.600000000006</v>
      </c>
    </row>
    <row r="32" spans="1:33" s="7" customFormat="1" x14ac:dyDescent="0.25">
      <c r="A32" s="3" t="s">
        <v>40</v>
      </c>
      <c r="B32" s="10">
        <f>SUM(B30:B31)</f>
        <v>0</v>
      </c>
      <c r="C32" s="10">
        <f t="shared" ref="C32:AB32" si="9">SUM(C30:C31)</f>
        <v>0</v>
      </c>
      <c r="D32" s="10">
        <f t="shared" si="9"/>
        <v>1467</v>
      </c>
      <c r="E32" s="10">
        <f t="shared" si="9"/>
        <v>0</v>
      </c>
      <c r="F32" s="10">
        <f t="shared" si="9"/>
        <v>0</v>
      </c>
      <c r="G32" s="10">
        <f t="shared" si="9"/>
        <v>0</v>
      </c>
      <c r="H32" s="10">
        <f t="shared" si="9"/>
        <v>0</v>
      </c>
      <c r="I32" s="10">
        <f t="shared" si="9"/>
        <v>0</v>
      </c>
      <c r="J32" s="10">
        <f t="shared" si="9"/>
        <v>0</v>
      </c>
      <c r="K32" s="10">
        <f t="shared" si="9"/>
        <v>0</v>
      </c>
      <c r="L32" s="10">
        <f t="shared" si="9"/>
        <v>0</v>
      </c>
      <c r="M32" s="10">
        <f t="shared" si="9"/>
        <v>0</v>
      </c>
      <c r="N32" s="10">
        <f t="shared" si="9"/>
        <v>0</v>
      </c>
      <c r="O32" s="10">
        <f t="shared" si="9"/>
        <v>0</v>
      </c>
      <c r="P32" s="10">
        <f t="shared" si="9"/>
        <v>0</v>
      </c>
      <c r="Q32" s="10">
        <f t="shared" si="9"/>
        <v>150.16</v>
      </c>
      <c r="R32" s="10">
        <f t="shared" si="9"/>
        <v>0</v>
      </c>
      <c r="S32" s="10">
        <f t="shared" si="9"/>
        <v>0</v>
      </c>
      <c r="T32" s="10">
        <f t="shared" si="9"/>
        <v>3457.54</v>
      </c>
      <c r="U32" s="10">
        <f t="shared" si="9"/>
        <v>0</v>
      </c>
      <c r="V32" s="10">
        <f t="shared" si="9"/>
        <v>0</v>
      </c>
      <c r="W32" s="10">
        <f t="shared" si="9"/>
        <v>0</v>
      </c>
      <c r="X32" s="10">
        <f t="shared" si="9"/>
        <v>0</v>
      </c>
      <c r="Y32" s="10">
        <f t="shared" si="9"/>
        <v>0</v>
      </c>
      <c r="Z32" s="10">
        <f t="shared" si="9"/>
        <v>0</v>
      </c>
      <c r="AA32" s="10">
        <f t="shared" si="9"/>
        <v>0</v>
      </c>
      <c r="AB32" s="10">
        <f t="shared" si="9"/>
        <v>0</v>
      </c>
      <c r="AC32" s="10">
        <f t="shared" ref="AC32:AF32" si="10">SUM(AC30:AC31)</f>
        <v>32214.190000000002</v>
      </c>
      <c r="AD32" s="10">
        <f t="shared" si="10"/>
        <v>14284</v>
      </c>
      <c r="AE32" s="10">
        <f t="shared" si="10"/>
        <v>19686</v>
      </c>
      <c r="AF32" s="10">
        <f t="shared" si="10"/>
        <v>0</v>
      </c>
      <c r="AG32" s="63">
        <f>SUM(B32:AF32)</f>
        <v>71258.89</v>
      </c>
    </row>
    <row r="52" spans="30:30" x14ac:dyDescent="0.25">
      <c r="AD52" s="22">
        <v>1108872</v>
      </c>
    </row>
    <row r="53" spans="30:30" x14ac:dyDescent="0.25">
      <c r="AD53" s="22">
        <v>263612</v>
      </c>
    </row>
    <row r="54" spans="30:30" x14ac:dyDescent="0.25">
      <c r="AD54" s="22">
        <f>SUM(AD52:AD53)</f>
        <v>1372484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71" customWidth="1"/>
    <col min="2" max="16" width="16" style="71" customWidth="1"/>
    <col min="17" max="17" width="18.140625" style="71" customWidth="1"/>
    <col min="18" max="19" width="16" style="71" customWidth="1"/>
    <col min="20" max="20" width="16" style="43" customWidth="1"/>
    <col min="21" max="29" width="16" style="71" customWidth="1"/>
    <col min="30" max="30" width="16" style="43" customWidth="1"/>
    <col min="31" max="32" width="16" style="71" customWidth="1"/>
    <col min="33" max="33" width="16" style="7" customWidth="1"/>
    <col min="34" max="16384" width="9.140625" style="71"/>
  </cols>
  <sheetData>
    <row r="1" spans="1:33" ht="18.75" x14ac:dyDescent="0.3">
      <c r="A1" s="12" t="s">
        <v>250</v>
      </c>
    </row>
    <row r="2" spans="1:33" x14ac:dyDescent="0.25">
      <c r="A2" s="5" t="s">
        <v>98</v>
      </c>
    </row>
    <row r="3" spans="1:33" x14ac:dyDescent="0.25">
      <c r="A3" s="1" t="s">
        <v>0</v>
      </c>
      <c r="B3" s="104" t="s">
        <v>1</v>
      </c>
      <c r="C3" s="104" t="s">
        <v>233</v>
      </c>
      <c r="D3" s="104" t="s">
        <v>2</v>
      </c>
      <c r="E3" s="104" t="s">
        <v>3</v>
      </c>
      <c r="F3" s="104" t="s">
        <v>242</v>
      </c>
      <c r="G3" s="104" t="s">
        <v>234</v>
      </c>
      <c r="H3" s="104" t="s">
        <v>5</v>
      </c>
      <c r="I3" s="104" t="s">
        <v>4</v>
      </c>
      <c r="J3" s="104" t="s">
        <v>6</v>
      </c>
      <c r="K3" s="104" t="s">
        <v>254</v>
      </c>
      <c r="L3" s="104" t="s">
        <v>7</v>
      </c>
      <c r="M3" s="104" t="s">
        <v>8</v>
      </c>
      <c r="N3" s="104" t="s">
        <v>9</v>
      </c>
      <c r="O3" s="104" t="s">
        <v>241</v>
      </c>
      <c r="P3" s="104" t="s">
        <v>10</v>
      </c>
      <c r="Q3" s="104" t="s">
        <v>11</v>
      </c>
      <c r="R3" s="104" t="s">
        <v>235</v>
      </c>
      <c r="S3" s="104" t="s">
        <v>253</v>
      </c>
      <c r="T3" s="146" t="s">
        <v>12</v>
      </c>
      <c r="U3" s="104" t="s">
        <v>236</v>
      </c>
      <c r="V3" s="104" t="s">
        <v>237</v>
      </c>
      <c r="W3" s="104" t="s">
        <v>240</v>
      </c>
      <c r="X3" s="104" t="s">
        <v>13</v>
      </c>
      <c r="Y3" s="104" t="s">
        <v>14</v>
      </c>
      <c r="Z3" s="104" t="s">
        <v>15</v>
      </c>
      <c r="AA3" s="104" t="s">
        <v>16</v>
      </c>
      <c r="AB3" s="104" t="s">
        <v>17</v>
      </c>
      <c r="AC3" s="103" t="s">
        <v>238</v>
      </c>
      <c r="AD3" s="103" t="s">
        <v>239</v>
      </c>
      <c r="AE3" s="103" t="s">
        <v>18</v>
      </c>
      <c r="AF3" s="104" t="s">
        <v>19</v>
      </c>
      <c r="AG3" s="78" t="s">
        <v>20</v>
      </c>
    </row>
    <row r="4" spans="1:33" x14ac:dyDescent="0.25">
      <c r="A4" s="2" t="s">
        <v>62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46"/>
      <c r="U4" s="92"/>
      <c r="V4" s="92"/>
      <c r="W4" s="92"/>
      <c r="X4" s="92"/>
      <c r="Y4" s="92"/>
      <c r="Z4" s="92"/>
      <c r="AA4" s="92"/>
      <c r="AB4" s="92"/>
      <c r="AC4" s="76"/>
      <c r="AD4" s="46"/>
      <c r="AE4" s="76"/>
      <c r="AF4" s="76"/>
      <c r="AG4" s="63">
        <f t="shared" ref="AG4:AG19" si="0">SUM(B4:AF4)</f>
        <v>0</v>
      </c>
    </row>
    <row r="5" spans="1:33" x14ac:dyDescent="0.25">
      <c r="A5" s="2" t="s">
        <v>63</v>
      </c>
      <c r="B5" s="92">
        <v>140</v>
      </c>
      <c r="C5" s="92">
        <v>6073</v>
      </c>
      <c r="D5" s="92">
        <v>5135</v>
      </c>
      <c r="E5" s="92">
        <v>3195</v>
      </c>
      <c r="F5" s="92">
        <v>2762.9</v>
      </c>
      <c r="G5" s="92">
        <v>1763</v>
      </c>
      <c r="H5" s="92">
        <v>178.57</v>
      </c>
      <c r="I5" s="92">
        <v>1084</v>
      </c>
      <c r="J5" s="92">
        <v>808.45</v>
      </c>
      <c r="K5" s="92">
        <v>52</v>
      </c>
      <c r="L5" s="92">
        <v>4836</v>
      </c>
      <c r="M5" s="92">
        <v>20655</v>
      </c>
      <c r="N5" s="92">
        <v>1873</v>
      </c>
      <c r="O5" s="92">
        <v>258</v>
      </c>
      <c r="P5" s="92">
        <v>1542.74</v>
      </c>
      <c r="Q5" s="92">
        <v>1803.35</v>
      </c>
      <c r="R5" s="92">
        <v>1094.72</v>
      </c>
      <c r="S5" s="92">
        <v>2857.39</v>
      </c>
      <c r="T5" s="46">
        <v>484951</v>
      </c>
      <c r="U5" s="92"/>
      <c r="V5" s="92">
        <v>230</v>
      </c>
      <c r="W5" s="92">
        <v>4460</v>
      </c>
      <c r="X5" s="92">
        <v>651.38</v>
      </c>
      <c r="Y5" s="92">
        <v>7046</v>
      </c>
      <c r="Z5" s="92">
        <v>158</v>
      </c>
      <c r="AA5" s="92">
        <v>2963</v>
      </c>
      <c r="AB5" s="92">
        <v>11365</v>
      </c>
      <c r="AC5" s="76">
        <v>71.94</v>
      </c>
      <c r="AD5" s="46">
        <v>363</v>
      </c>
      <c r="AE5" s="76">
        <v>139</v>
      </c>
      <c r="AF5" s="76">
        <v>372</v>
      </c>
      <c r="AG5" s="64">
        <f t="shared" si="0"/>
        <v>568882.43999999994</v>
      </c>
    </row>
    <row r="6" spans="1:33" x14ac:dyDescent="0.25">
      <c r="A6" s="2" t="s">
        <v>64</v>
      </c>
      <c r="B6" s="92"/>
      <c r="C6" s="92"/>
      <c r="D6" s="92"/>
      <c r="E6" s="92">
        <v>8882</v>
      </c>
      <c r="F6" s="92"/>
      <c r="G6" s="92">
        <v>587</v>
      </c>
      <c r="H6" s="92">
        <v>7481.52</v>
      </c>
      <c r="I6" s="92"/>
      <c r="J6" s="92"/>
      <c r="K6" s="92"/>
      <c r="L6" s="92"/>
      <c r="M6" s="92">
        <v>24118</v>
      </c>
      <c r="N6" s="92">
        <v>378</v>
      </c>
      <c r="O6" s="92"/>
      <c r="P6" s="92"/>
      <c r="Q6" s="92"/>
      <c r="R6" s="92"/>
      <c r="S6" s="92"/>
      <c r="T6" s="46">
        <v>6452</v>
      </c>
      <c r="U6" s="92"/>
      <c r="V6" s="92"/>
      <c r="W6" s="92"/>
      <c r="X6" s="92"/>
      <c r="Y6" s="92"/>
      <c r="Z6" s="92"/>
      <c r="AA6" s="92"/>
      <c r="AB6" s="92">
        <v>645</v>
      </c>
      <c r="AC6" s="76">
        <v>1343.9</v>
      </c>
      <c r="AD6" s="46">
        <v>595</v>
      </c>
      <c r="AE6" s="76">
        <v>1318</v>
      </c>
      <c r="AF6" s="76"/>
      <c r="AG6" s="64">
        <f t="shared" si="0"/>
        <v>51800.420000000006</v>
      </c>
    </row>
    <row r="7" spans="1:33" x14ac:dyDescent="0.25">
      <c r="A7" s="2" t="s">
        <v>65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46"/>
      <c r="U7" s="92"/>
      <c r="V7" s="92"/>
      <c r="W7" s="92"/>
      <c r="X7" s="92"/>
      <c r="Y7" s="92"/>
      <c r="Z7" s="92">
        <v>2072</v>
      </c>
      <c r="AA7" s="92"/>
      <c r="AB7" s="92"/>
      <c r="AC7" s="76"/>
      <c r="AD7" s="46"/>
      <c r="AE7" s="76">
        <v>147</v>
      </c>
      <c r="AF7" s="76"/>
      <c r="AG7" s="64">
        <f t="shared" si="0"/>
        <v>2219</v>
      </c>
    </row>
    <row r="8" spans="1:33" x14ac:dyDescent="0.25">
      <c r="A8" s="2" t="s">
        <v>66</v>
      </c>
      <c r="B8" s="92"/>
      <c r="C8" s="92"/>
      <c r="D8" s="92">
        <v>9254</v>
      </c>
      <c r="E8" s="92">
        <v>137</v>
      </c>
      <c r="F8" s="92">
        <v>112.08</v>
      </c>
      <c r="G8" s="92"/>
      <c r="H8" s="92">
        <v>5360.33</v>
      </c>
      <c r="I8" s="92">
        <v>8</v>
      </c>
      <c r="J8" s="92">
        <v>549.25</v>
      </c>
      <c r="K8" s="92">
        <v>561</v>
      </c>
      <c r="L8" s="92">
        <v>82</v>
      </c>
      <c r="M8" s="92"/>
      <c r="N8" s="92"/>
      <c r="O8" s="92">
        <v>4</v>
      </c>
      <c r="P8" s="92">
        <v>198.84</v>
      </c>
      <c r="Q8" s="92">
        <v>97.25</v>
      </c>
      <c r="R8" s="92">
        <v>57.77</v>
      </c>
      <c r="S8" s="92">
        <v>787.57</v>
      </c>
      <c r="T8" s="46">
        <v>287720</v>
      </c>
      <c r="U8" s="92">
        <v>5</v>
      </c>
      <c r="V8" s="92">
        <v>67</v>
      </c>
      <c r="W8" s="92">
        <v>386</v>
      </c>
      <c r="X8" s="92">
        <v>288.83</v>
      </c>
      <c r="Y8" s="92">
        <v>1296</v>
      </c>
      <c r="Z8" s="92">
        <v>134</v>
      </c>
      <c r="AA8" s="92">
        <v>116</v>
      </c>
      <c r="AB8" s="92">
        <v>381</v>
      </c>
      <c r="AC8" s="76">
        <v>2857.04</v>
      </c>
      <c r="AD8" s="46">
        <v>35375</v>
      </c>
      <c r="AE8" s="76">
        <v>1838</v>
      </c>
      <c r="AF8" s="76"/>
      <c r="AG8" s="64">
        <f t="shared" si="0"/>
        <v>347672.96</v>
      </c>
    </row>
    <row r="9" spans="1:33" x14ac:dyDescent="0.25">
      <c r="A9" s="2" t="s">
        <v>67</v>
      </c>
      <c r="B9" s="92"/>
      <c r="C9" s="92"/>
      <c r="D9" s="92">
        <v>3074</v>
      </c>
      <c r="E9" s="92">
        <v>22442</v>
      </c>
      <c r="F9" s="92"/>
      <c r="G9" s="92">
        <v>3117</v>
      </c>
      <c r="H9" s="92">
        <v>2730.17</v>
      </c>
      <c r="I9" s="92"/>
      <c r="J9" s="92"/>
      <c r="K9" s="92">
        <v>8913</v>
      </c>
      <c r="L9" s="92">
        <v>13439</v>
      </c>
      <c r="M9" s="92">
        <v>3645</v>
      </c>
      <c r="N9" s="92">
        <v>99</v>
      </c>
      <c r="O9" s="92"/>
      <c r="P9" s="92"/>
      <c r="Q9" s="92"/>
      <c r="R9" s="92"/>
      <c r="S9" s="92"/>
      <c r="T9" s="46">
        <v>743836</v>
      </c>
      <c r="U9" s="92"/>
      <c r="V9" s="92"/>
      <c r="W9" s="92"/>
      <c r="X9" s="92"/>
      <c r="Y9" s="92">
        <v>10378</v>
      </c>
      <c r="Z9" s="92">
        <v>1419</v>
      </c>
      <c r="AA9" s="92">
        <v>626</v>
      </c>
      <c r="AB9" s="92">
        <v>7438</v>
      </c>
      <c r="AC9" s="76">
        <v>12600.04</v>
      </c>
      <c r="AD9" s="46">
        <v>5707</v>
      </c>
      <c r="AE9" s="76">
        <v>3440</v>
      </c>
      <c r="AF9" s="76"/>
      <c r="AG9" s="64">
        <f t="shared" si="0"/>
        <v>842903.21000000008</v>
      </c>
    </row>
    <row r="10" spans="1:33" x14ac:dyDescent="0.25">
      <c r="A10" s="2" t="s">
        <v>68</v>
      </c>
      <c r="B10" s="92">
        <v>2</v>
      </c>
      <c r="C10" s="92">
        <v>52</v>
      </c>
      <c r="D10" s="92">
        <v>406</v>
      </c>
      <c r="E10" s="92">
        <v>875</v>
      </c>
      <c r="F10" s="92">
        <v>6.16</v>
      </c>
      <c r="G10" s="92">
        <v>42</v>
      </c>
      <c r="H10" s="92">
        <v>239.94</v>
      </c>
      <c r="I10" s="92">
        <v>12</v>
      </c>
      <c r="J10" s="92">
        <v>125.76</v>
      </c>
      <c r="K10" s="92">
        <v>241</v>
      </c>
      <c r="L10" s="92">
        <v>1793</v>
      </c>
      <c r="M10" s="92">
        <v>4094</v>
      </c>
      <c r="N10" s="92">
        <v>3932</v>
      </c>
      <c r="O10" s="92">
        <v>1.38</v>
      </c>
      <c r="P10" s="92">
        <v>8.73</v>
      </c>
      <c r="Q10" s="92">
        <v>4.2699999999999996</v>
      </c>
      <c r="R10" s="92">
        <v>24.15</v>
      </c>
      <c r="S10" s="92">
        <v>157.85</v>
      </c>
      <c r="T10" s="46">
        <v>105788</v>
      </c>
      <c r="U10" s="92">
        <v>23</v>
      </c>
      <c r="V10" s="92">
        <v>37</v>
      </c>
      <c r="W10" s="92">
        <v>256</v>
      </c>
      <c r="X10" s="92">
        <v>85.81</v>
      </c>
      <c r="Y10" s="92">
        <v>605</v>
      </c>
      <c r="Z10" s="92">
        <v>340</v>
      </c>
      <c r="AA10" s="92">
        <v>1363</v>
      </c>
      <c r="AB10" s="92">
        <v>109</v>
      </c>
      <c r="AC10" s="76">
        <v>3101.6</v>
      </c>
      <c r="AD10" s="46">
        <v>781</v>
      </c>
      <c r="AE10" s="76">
        <v>477</v>
      </c>
      <c r="AF10" s="76">
        <v>69</v>
      </c>
      <c r="AG10" s="64">
        <f t="shared" si="0"/>
        <v>125052.65000000001</v>
      </c>
    </row>
    <row r="11" spans="1:33" x14ac:dyDescent="0.25">
      <c r="A11" s="2" t="s">
        <v>69</v>
      </c>
      <c r="B11" s="92">
        <v>141</v>
      </c>
      <c r="C11" s="92">
        <v>738</v>
      </c>
      <c r="D11" s="92">
        <v>2738</v>
      </c>
      <c r="E11" s="92">
        <v>2843</v>
      </c>
      <c r="F11" s="92">
        <v>1631.34</v>
      </c>
      <c r="G11" s="92">
        <v>984</v>
      </c>
      <c r="H11" s="92">
        <v>236.31</v>
      </c>
      <c r="I11" s="92">
        <v>53</v>
      </c>
      <c r="J11" s="92">
        <v>775.39</v>
      </c>
      <c r="K11" s="92">
        <v>952</v>
      </c>
      <c r="L11" s="92">
        <v>3663</v>
      </c>
      <c r="M11" s="92">
        <v>2731</v>
      </c>
      <c r="N11" s="92">
        <v>2501</v>
      </c>
      <c r="O11" s="92">
        <v>398</v>
      </c>
      <c r="P11" s="92">
        <v>511.74</v>
      </c>
      <c r="Q11" s="92">
        <v>481.95</v>
      </c>
      <c r="R11" s="92">
        <v>639.53</v>
      </c>
      <c r="S11" s="92">
        <f>135.1+378.26</f>
        <v>513.36</v>
      </c>
      <c r="T11" s="46">
        <v>502391</v>
      </c>
      <c r="U11" s="92"/>
      <c r="V11" s="92">
        <v>107</v>
      </c>
      <c r="W11" s="92">
        <v>458</v>
      </c>
      <c r="X11" s="92">
        <f>239.04+658.13</f>
        <v>897.17</v>
      </c>
      <c r="Y11" s="92">
        <v>1990</v>
      </c>
      <c r="Z11" s="92">
        <v>224</v>
      </c>
      <c r="AA11" s="92">
        <v>2734</v>
      </c>
      <c r="AB11" s="92">
        <v>3763</v>
      </c>
      <c r="AC11" s="76">
        <v>8857.83</v>
      </c>
      <c r="AD11" s="46">
        <v>2998</v>
      </c>
      <c r="AE11" s="76">
        <v>2140</v>
      </c>
      <c r="AF11" s="76">
        <v>1488</v>
      </c>
      <c r="AG11" s="64">
        <f t="shared" si="0"/>
        <v>550579.62</v>
      </c>
    </row>
    <row r="12" spans="1:33" x14ac:dyDescent="0.25">
      <c r="A12" s="2" t="s">
        <v>70</v>
      </c>
      <c r="B12" s="92"/>
      <c r="C12" s="92">
        <v>123</v>
      </c>
      <c r="D12" s="92">
        <v>143</v>
      </c>
      <c r="E12" s="92">
        <v>579</v>
      </c>
      <c r="F12" s="92"/>
      <c r="G12" s="92">
        <v>242</v>
      </c>
      <c r="H12" s="92">
        <v>770.93</v>
      </c>
      <c r="I12" s="92"/>
      <c r="J12" s="92">
        <v>1.57</v>
      </c>
      <c r="K12" s="92"/>
      <c r="L12" s="92">
        <v>709</v>
      </c>
      <c r="M12" s="92">
        <v>571</v>
      </c>
      <c r="N12" s="92">
        <v>188</v>
      </c>
      <c r="O12" s="92">
        <v>97</v>
      </c>
      <c r="P12" s="92">
        <v>21.01</v>
      </c>
      <c r="Q12" s="92">
        <v>25.02</v>
      </c>
      <c r="R12" s="92"/>
      <c r="S12" s="92"/>
      <c r="T12" s="46">
        <v>346964</v>
      </c>
      <c r="U12" s="92"/>
      <c r="V12" s="92">
        <v>22</v>
      </c>
      <c r="W12" s="92">
        <v>31</v>
      </c>
      <c r="X12" s="92">
        <v>20.350000000000001</v>
      </c>
      <c r="Y12" s="92"/>
      <c r="Z12" s="92">
        <v>2</v>
      </c>
      <c r="AA12" s="92">
        <v>204</v>
      </c>
      <c r="AB12" s="92">
        <v>240</v>
      </c>
      <c r="AC12" s="76">
        <v>9311.16</v>
      </c>
      <c r="AD12" s="46">
        <v>3339</v>
      </c>
      <c r="AE12" s="76">
        <v>2940</v>
      </c>
      <c r="AF12" s="76">
        <v>49</v>
      </c>
      <c r="AG12" s="64">
        <f t="shared" si="0"/>
        <v>366593.04</v>
      </c>
    </row>
    <row r="13" spans="1:33" x14ac:dyDescent="0.25">
      <c r="A13" s="2" t="s">
        <v>71</v>
      </c>
      <c r="B13" s="92">
        <v>8</v>
      </c>
      <c r="C13" s="92">
        <v>151</v>
      </c>
      <c r="D13" s="92">
        <v>40</v>
      </c>
      <c r="E13" s="92">
        <v>472</v>
      </c>
      <c r="F13" s="92">
        <v>273.64</v>
      </c>
      <c r="G13" s="92">
        <v>49</v>
      </c>
      <c r="H13" s="92">
        <v>74.260000000000005</v>
      </c>
      <c r="I13" s="92">
        <v>11</v>
      </c>
      <c r="J13" s="92">
        <v>270.89</v>
      </c>
      <c r="K13" s="92">
        <v>572</v>
      </c>
      <c r="L13" s="92">
        <v>727</v>
      </c>
      <c r="M13" s="92">
        <v>4528</v>
      </c>
      <c r="N13" s="92">
        <v>730</v>
      </c>
      <c r="O13" s="92">
        <v>11</v>
      </c>
      <c r="P13" s="92">
        <v>154.76</v>
      </c>
      <c r="Q13" s="92">
        <v>4.51</v>
      </c>
      <c r="R13" s="92">
        <v>52.41</v>
      </c>
      <c r="S13" s="92">
        <v>470.96</v>
      </c>
      <c r="T13" s="46">
        <v>14512</v>
      </c>
      <c r="U13" s="92">
        <v>23</v>
      </c>
      <c r="V13" s="92">
        <v>7</v>
      </c>
      <c r="W13" s="92">
        <v>450</v>
      </c>
      <c r="X13" s="92">
        <v>133.51</v>
      </c>
      <c r="Y13" s="92">
        <v>904</v>
      </c>
      <c r="Z13" s="92">
        <v>157</v>
      </c>
      <c r="AA13" s="92">
        <v>1073</v>
      </c>
      <c r="AB13" s="92">
        <v>233</v>
      </c>
      <c r="AC13" s="76">
        <v>167.81</v>
      </c>
      <c r="AD13" s="46">
        <v>92</v>
      </c>
      <c r="AE13" s="76">
        <v>150</v>
      </c>
      <c r="AF13" s="76">
        <v>53</v>
      </c>
      <c r="AG13" s="64">
        <f t="shared" si="0"/>
        <v>26555.75</v>
      </c>
    </row>
    <row r="14" spans="1:33" x14ac:dyDescent="0.25">
      <c r="A14" s="2" t="s">
        <v>72</v>
      </c>
      <c r="B14" s="92"/>
      <c r="C14" s="92"/>
      <c r="D14" s="92">
        <v>37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>
        <v>28.09</v>
      </c>
      <c r="R14" s="92"/>
      <c r="S14" s="92"/>
      <c r="T14" s="46">
        <v>81329</v>
      </c>
      <c r="U14" s="92"/>
      <c r="V14" s="92"/>
      <c r="W14" s="92"/>
      <c r="X14" s="92"/>
      <c r="Y14" s="92"/>
      <c r="Z14" s="92"/>
      <c r="AA14" s="92"/>
      <c r="AB14" s="92"/>
      <c r="AC14" s="76"/>
      <c r="AD14" s="46"/>
      <c r="AE14" s="76">
        <v>544</v>
      </c>
      <c r="AF14" s="76"/>
      <c r="AG14" s="64">
        <f t="shared" si="0"/>
        <v>81938.09</v>
      </c>
    </row>
    <row r="15" spans="1:33" x14ac:dyDescent="0.25">
      <c r="A15" s="2" t="s">
        <v>73</v>
      </c>
      <c r="B15" s="92">
        <f>B16-B14-B13-B12-B11-B10-B9-B8-B7-B6-B5-B4</f>
        <v>0</v>
      </c>
      <c r="C15" s="92">
        <f t="shared" ref="C15:AB15" si="1">C16-C14-C13-C12-C11-C10-C9-C8-C7-C6-C5-C4</f>
        <v>817</v>
      </c>
      <c r="D15" s="92">
        <f t="shared" si="1"/>
        <v>1</v>
      </c>
      <c r="E15" s="92">
        <f t="shared" si="1"/>
        <v>0</v>
      </c>
      <c r="F15" s="92">
        <f t="shared" si="1"/>
        <v>-1.0000000000673026E-2</v>
      </c>
      <c r="G15" s="92">
        <f>G16-G14-G13-G12-G11-G10-G9-G8-G7-G6-G5-G4</f>
        <v>237</v>
      </c>
      <c r="H15" s="92">
        <f t="shared" si="1"/>
        <v>-2.8421709430404007E-13</v>
      </c>
      <c r="I15" s="92">
        <f t="shared" si="1"/>
        <v>0</v>
      </c>
      <c r="J15" s="92">
        <f t="shared" si="1"/>
        <v>0</v>
      </c>
      <c r="K15" s="92">
        <f t="shared" si="1"/>
        <v>723</v>
      </c>
      <c r="L15" s="92">
        <f t="shared" si="1"/>
        <v>0</v>
      </c>
      <c r="M15" s="92">
        <f t="shared" si="1"/>
        <v>-1</v>
      </c>
      <c r="N15" s="92">
        <f t="shared" si="1"/>
        <v>0</v>
      </c>
      <c r="O15" s="92">
        <f t="shared" si="1"/>
        <v>-1.3799999999999955</v>
      </c>
      <c r="P15" s="92">
        <f t="shared" si="1"/>
        <v>2.2737367544323206E-13</v>
      </c>
      <c r="Q15" s="92">
        <f t="shared" si="1"/>
        <v>-2.2737367544323206E-13</v>
      </c>
      <c r="R15" s="92">
        <f t="shared" si="1"/>
        <v>9.9999999997635314E-3</v>
      </c>
      <c r="S15" s="92">
        <f t="shared" si="1"/>
        <v>1.0000000000218279E-2</v>
      </c>
      <c r="T15" s="46">
        <f t="shared" si="1"/>
        <v>-2548186</v>
      </c>
      <c r="U15" s="92">
        <f t="shared" si="1"/>
        <v>-1</v>
      </c>
      <c r="V15" s="92">
        <f t="shared" si="1"/>
        <v>0</v>
      </c>
      <c r="W15" s="92">
        <f t="shared" si="1"/>
        <v>1</v>
      </c>
      <c r="X15" s="92">
        <f t="shared" si="1"/>
        <v>1.0000000000331966E-2</v>
      </c>
      <c r="Y15" s="92">
        <f t="shared" si="1"/>
        <v>0</v>
      </c>
      <c r="Z15" s="92">
        <f t="shared" si="1"/>
        <v>-1</v>
      </c>
      <c r="AA15" s="92">
        <f t="shared" si="1"/>
        <v>1</v>
      </c>
      <c r="AB15" s="92">
        <f t="shared" si="1"/>
        <v>-1</v>
      </c>
      <c r="AC15" s="76">
        <f t="shared" ref="AC15:AF15" si="2">AC16-AC14-AC13-AC12-AC11-AC10-AC9-AC8-AC7-AC6-AC5-AC4</f>
        <v>2002.3200000000043</v>
      </c>
      <c r="AD15" s="46">
        <f t="shared" si="2"/>
        <v>757</v>
      </c>
      <c r="AE15" s="76">
        <f t="shared" si="2"/>
        <v>573</v>
      </c>
      <c r="AF15" s="76">
        <f t="shared" si="2"/>
        <v>0</v>
      </c>
      <c r="AG15" s="64">
        <f t="shared" si="0"/>
        <v>-2543079.0400000005</v>
      </c>
    </row>
    <row r="16" spans="1:33" s="7" customFormat="1" x14ac:dyDescent="0.25">
      <c r="A16" s="3" t="s">
        <v>40</v>
      </c>
      <c r="B16" s="10">
        <v>291</v>
      </c>
      <c r="C16" s="10">
        <v>7954</v>
      </c>
      <c r="D16" s="10">
        <v>20828</v>
      </c>
      <c r="E16" s="10">
        <v>39425</v>
      </c>
      <c r="F16" s="10">
        <v>4786.1099999999997</v>
      </c>
      <c r="G16" s="10">
        <v>7021</v>
      </c>
      <c r="H16" s="10">
        <v>17072.03</v>
      </c>
      <c r="I16" s="10">
        <v>1168</v>
      </c>
      <c r="J16" s="10">
        <v>2531.31</v>
      </c>
      <c r="K16" s="10">
        <v>12014</v>
      </c>
      <c r="L16" s="10">
        <v>25249</v>
      </c>
      <c r="M16" s="10">
        <v>60341</v>
      </c>
      <c r="N16" s="10">
        <v>9701</v>
      </c>
      <c r="O16" s="10">
        <v>768</v>
      </c>
      <c r="P16" s="10">
        <v>2437.8200000000002</v>
      </c>
      <c r="Q16" s="92">
        <v>2444.44</v>
      </c>
      <c r="R16" s="10">
        <v>1868.59</v>
      </c>
      <c r="S16" s="10">
        <v>4787.1400000000003</v>
      </c>
      <c r="T16" s="48">
        <v>25757</v>
      </c>
      <c r="U16" s="10">
        <v>50</v>
      </c>
      <c r="V16" s="10">
        <v>470</v>
      </c>
      <c r="W16" s="10">
        <v>6042</v>
      </c>
      <c r="X16" s="10">
        <v>2077.06</v>
      </c>
      <c r="Y16" s="10">
        <v>22219</v>
      </c>
      <c r="Z16" s="10">
        <v>4505</v>
      </c>
      <c r="AA16" s="92">
        <v>9080</v>
      </c>
      <c r="AB16" s="10">
        <v>24173</v>
      </c>
      <c r="AC16" s="10">
        <v>40313.64</v>
      </c>
      <c r="AD16">
        <v>50007</v>
      </c>
      <c r="AE16" s="10">
        <v>13706</v>
      </c>
      <c r="AF16" s="10">
        <v>2031</v>
      </c>
      <c r="AG16" s="63">
        <f t="shared" si="0"/>
        <v>421118.14</v>
      </c>
    </row>
    <row r="17" spans="1:33" x14ac:dyDescent="0.25">
      <c r="A17" s="2" t="s">
        <v>74</v>
      </c>
      <c r="B17" s="92"/>
      <c r="C17" s="74">
        <v>82</v>
      </c>
      <c r="D17" s="92"/>
      <c r="E17" s="92">
        <v>3456</v>
      </c>
      <c r="F17" s="92">
        <v>61.8</v>
      </c>
      <c r="G17" s="92">
        <v>474</v>
      </c>
      <c r="H17" s="92">
        <v>14292.17</v>
      </c>
      <c r="I17" s="92"/>
      <c r="J17" s="92">
        <v>1955.7</v>
      </c>
      <c r="K17" s="92">
        <v>24</v>
      </c>
      <c r="L17" s="92">
        <v>2748</v>
      </c>
      <c r="M17" s="92">
        <v>591</v>
      </c>
      <c r="N17" s="92">
        <v>3164</v>
      </c>
      <c r="O17" s="92">
        <v>10</v>
      </c>
      <c r="P17" s="92">
        <v>402.29</v>
      </c>
      <c r="Q17" s="92">
        <v>108.78</v>
      </c>
      <c r="R17" s="92">
        <v>764.91</v>
      </c>
      <c r="S17" s="92">
        <v>33.36</v>
      </c>
      <c r="T17" s="46">
        <v>29486</v>
      </c>
      <c r="U17" s="92"/>
      <c r="V17" s="92">
        <v>340</v>
      </c>
      <c r="W17" s="92">
        <v>1175</v>
      </c>
      <c r="X17" s="92">
        <v>65.260000000000005</v>
      </c>
      <c r="Y17" s="92">
        <v>191</v>
      </c>
      <c r="Z17" s="92"/>
      <c r="AA17" s="92">
        <v>2471</v>
      </c>
      <c r="AB17" s="92">
        <v>1483</v>
      </c>
      <c r="AC17" s="76">
        <v>3105.19</v>
      </c>
      <c r="AD17" s="46">
        <v>2805</v>
      </c>
      <c r="AE17" s="76"/>
      <c r="AF17" s="76">
        <v>460</v>
      </c>
      <c r="AG17" s="64">
        <f t="shared" si="0"/>
        <v>69749.460000000006</v>
      </c>
    </row>
    <row r="18" spans="1:33" ht="30" x14ac:dyDescent="0.25">
      <c r="A18" s="2" t="s">
        <v>75</v>
      </c>
      <c r="B18" s="92"/>
      <c r="C18" s="74">
        <v>1986</v>
      </c>
      <c r="D18" s="92"/>
      <c r="E18" s="92"/>
      <c r="F18" s="92"/>
      <c r="G18" s="92">
        <v>7495</v>
      </c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46"/>
      <c r="U18" s="92"/>
      <c r="V18" s="92"/>
      <c r="W18" s="92"/>
      <c r="X18" s="92"/>
      <c r="Y18" s="92"/>
      <c r="Z18" s="92"/>
      <c r="AA18" s="92"/>
      <c r="AB18" s="92"/>
      <c r="AC18" s="76"/>
      <c r="AD18" s="46"/>
      <c r="AE18" s="76"/>
      <c r="AF18" s="76"/>
      <c r="AG18" s="64">
        <f t="shared" si="0"/>
        <v>9481</v>
      </c>
    </row>
    <row r="19" spans="1:33" s="7" customFormat="1" x14ac:dyDescent="0.25">
      <c r="A19" s="3" t="s">
        <v>76</v>
      </c>
      <c r="B19" s="10">
        <f>B16+B17+B18</f>
        <v>291</v>
      </c>
      <c r="C19" s="75">
        <f t="shared" ref="C19:AB19" si="3">C16+C17+C18</f>
        <v>10022</v>
      </c>
      <c r="D19" s="10">
        <f t="shared" si="3"/>
        <v>20828</v>
      </c>
      <c r="E19" s="10">
        <f t="shared" si="3"/>
        <v>42881</v>
      </c>
      <c r="F19" s="10">
        <f t="shared" si="3"/>
        <v>4847.91</v>
      </c>
      <c r="G19" s="10">
        <f t="shared" si="3"/>
        <v>14990</v>
      </c>
      <c r="H19" s="10">
        <f t="shared" si="3"/>
        <v>31364.199999999997</v>
      </c>
      <c r="I19" s="10">
        <f t="shared" si="3"/>
        <v>1168</v>
      </c>
      <c r="J19" s="10">
        <f t="shared" si="3"/>
        <v>4487.01</v>
      </c>
      <c r="K19" s="10">
        <f t="shared" si="3"/>
        <v>12038</v>
      </c>
      <c r="L19" s="10">
        <f t="shared" si="3"/>
        <v>27997</v>
      </c>
      <c r="M19" s="10">
        <f t="shared" si="3"/>
        <v>60932</v>
      </c>
      <c r="N19" s="10">
        <f t="shared" si="3"/>
        <v>12865</v>
      </c>
      <c r="O19" s="10">
        <f t="shared" si="3"/>
        <v>778</v>
      </c>
      <c r="P19" s="10">
        <f t="shared" si="3"/>
        <v>2840.11</v>
      </c>
      <c r="Q19" s="10">
        <f t="shared" si="3"/>
        <v>2553.2200000000003</v>
      </c>
      <c r="R19" s="10">
        <f t="shared" si="3"/>
        <v>2633.5</v>
      </c>
      <c r="S19" s="10">
        <f t="shared" si="3"/>
        <v>4820.5</v>
      </c>
      <c r="T19" s="48">
        <f t="shared" si="3"/>
        <v>55243</v>
      </c>
      <c r="U19" s="10">
        <f t="shared" si="3"/>
        <v>50</v>
      </c>
      <c r="V19" s="10">
        <f t="shared" si="3"/>
        <v>810</v>
      </c>
      <c r="W19" s="10">
        <f t="shared" si="3"/>
        <v>7217</v>
      </c>
      <c r="X19" s="10">
        <f t="shared" si="3"/>
        <v>2142.3200000000002</v>
      </c>
      <c r="Y19" s="10">
        <f t="shared" si="3"/>
        <v>22410</v>
      </c>
      <c r="Z19" s="10">
        <f t="shared" si="3"/>
        <v>4505</v>
      </c>
      <c r="AA19" s="10">
        <f t="shared" si="3"/>
        <v>11551</v>
      </c>
      <c r="AB19" s="10">
        <f t="shared" si="3"/>
        <v>25656</v>
      </c>
      <c r="AC19" s="10">
        <f t="shared" ref="AC19:AF19" si="4">AC16+AC17+AC18</f>
        <v>43418.83</v>
      </c>
      <c r="AD19" s="48">
        <f t="shared" si="4"/>
        <v>52812</v>
      </c>
      <c r="AE19" s="10">
        <f t="shared" si="4"/>
        <v>13706</v>
      </c>
      <c r="AF19" s="10">
        <f t="shared" si="4"/>
        <v>2491</v>
      </c>
      <c r="AG19" s="63">
        <f t="shared" si="0"/>
        <v>500348.6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0.140625" style="71" customWidth="1"/>
    <col min="2" max="3" width="16" style="71" customWidth="1"/>
    <col min="4" max="4" width="16" style="43" customWidth="1"/>
    <col min="5" max="32" width="16" style="71" customWidth="1"/>
    <col min="33" max="33" width="16" style="50" customWidth="1"/>
    <col min="34" max="16384" width="9.140625" style="71"/>
  </cols>
  <sheetData>
    <row r="1" spans="1:33" ht="18.75" x14ac:dyDescent="0.3">
      <c r="A1" s="12" t="s">
        <v>251</v>
      </c>
    </row>
    <row r="2" spans="1:33" x14ac:dyDescent="0.25">
      <c r="A2" s="5" t="s">
        <v>98</v>
      </c>
    </row>
    <row r="3" spans="1:33" x14ac:dyDescent="0.25">
      <c r="A3" s="1" t="s">
        <v>0</v>
      </c>
      <c r="B3" s="104" t="s">
        <v>1</v>
      </c>
      <c r="C3" s="104" t="s">
        <v>233</v>
      </c>
      <c r="D3" s="104" t="s">
        <v>2</v>
      </c>
      <c r="E3" s="104" t="s">
        <v>3</v>
      </c>
      <c r="F3" s="104" t="s">
        <v>242</v>
      </c>
      <c r="G3" s="104" t="s">
        <v>234</v>
      </c>
      <c r="H3" s="104" t="s">
        <v>5</v>
      </c>
      <c r="I3" s="104" t="s">
        <v>4</v>
      </c>
      <c r="J3" s="104" t="s">
        <v>6</v>
      </c>
      <c r="K3" s="104" t="s">
        <v>254</v>
      </c>
      <c r="L3" s="104" t="s">
        <v>7</v>
      </c>
      <c r="M3" s="104" t="s">
        <v>8</v>
      </c>
      <c r="N3" s="104" t="s">
        <v>9</v>
      </c>
      <c r="O3" s="104" t="s">
        <v>241</v>
      </c>
      <c r="P3" s="104" t="s">
        <v>10</v>
      </c>
      <c r="Q3" s="104" t="s">
        <v>11</v>
      </c>
      <c r="R3" s="104" t="s">
        <v>235</v>
      </c>
      <c r="S3" s="104" t="s">
        <v>253</v>
      </c>
      <c r="T3" s="104" t="s">
        <v>12</v>
      </c>
      <c r="U3" s="104" t="s">
        <v>236</v>
      </c>
      <c r="V3" s="104" t="s">
        <v>237</v>
      </c>
      <c r="W3" s="104" t="s">
        <v>240</v>
      </c>
      <c r="X3" s="104" t="s">
        <v>13</v>
      </c>
      <c r="Y3" s="104" t="s">
        <v>14</v>
      </c>
      <c r="Z3" s="104" t="s">
        <v>15</v>
      </c>
      <c r="AA3" s="104" t="s">
        <v>16</v>
      </c>
      <c r="AB3" s="104" t="s">
        <v>17</v>
      </c>
      <c r="AC3" s="103" t="s">
        <v>238</v>
      </c>
      <c r="AD3" s="103" t="s">
        <v>239</v>
      </c>
      <c r="AE3" s="103" t="s">
        <v>18</v>
      </c>
      <c r="AF3" s="104" t="s">
        <v>19</v>
      </c>
      <c r="AG3" s="78" t="s">
        <v>20</v>
      </c>
    </row>
    <row r="4" spans="1:33" ht="15" customHeight="1" x14ac:dyDescent="0.25">
      <c r="A4" s="2" t="s">
        <v>77</v>
      </c>
      <c r="B4" s="92">
        <v>6</v>
      </c>
      <c r="C4" s="92">
        <v>22</v>
      </c>
      <c r="D4" s="46">
        <v>1</v>
      </c>
      <c r="E4" s="92">
        <v>4558</v>
      </c>
      <c r="F4" s="92">
        <v>381.79</v>
      </c>
      <c r="G4" s="92">
        <v>363</v>
      </c>
      <c r="H4" s="92">
        <v>2.68</v>
      </c>
      <c r="I4" s="92">
        <v>16</v>
      </c>
      <c r="J4" s="92">
        <v>95.58</v>
      </c>
      <c r="K4" s="92">
        <v>2411</v>
      </c>
      <c r="L4" s="92">
        <v>2542</v>
      </c>
      <c r="M4" s="92">
        <v>218</v>
      </c>
      <c r="N4" s="92">
        <v>118</v>
      </c>
      <c r="O4" s="92">
        <v>310</v>
      </c>
      <c r="P4" s="92">
        <v>326.58999999999997</v>
      </c>
      <c r="Q4" s="92">
        <v>26.86</v>
      </c>
      <c r="R4" s="92">
        <v>118.18</v>
      </c>
      <c r="S4" s="92">
        <v>120.38</v>
      </c>
      <c r="T4" s="92">
        <v>891.18</v>
      </c>
      <c r="U4" s="92">
        <v>23</v>
      </c>
      <c r="V4" s="92">
        <v>1</v>
      </c>
      <c r="W4" s="92">
        <v>80</v>
      </c>
      <c r="X4" s="92">
        <v>278.55</v>
      </c>
      <c r="Y4" s="92">
        <v>553</v>
      </c>
      <c r="Z4" s="92">
        <v>260</v>
      </c>
      <c r="AA4" s="92">
        <v>7591</v>
      </c>
      <c r="AB4" s="92">
        <v>570</v>
      </c>
      <c r="AC4" s="76">
        <v>419.84</v>
      </c>
      <c r="AD4" s="76">
        <v>517</v>
      </c>
      <c r="AE4" s="76">
        <v>2404</v>
      </c>
      <c r="AF4" s="76">
        <v>14</v>
      </c>
      <c r="AG4" s="64">
        <f t="shared" ref="AG4:AG16" si="0">SUM(B4:AF4)</f>
        <v>25239.63</v>
      </c>
    </row>
    <row r="5" spans="1:33" x14ac:dyDescent="0.25">
      <c r="A5" s="2" t="s">
        <v>78</v>
      </c>
      <c r="B5" s="92"/>
      <c r="C5" s="92"/>
      <c r="D5" s="46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76"/>
      <c r="AD5" s="76"/>
      <c r="AE5" s="76"/>
      <c r="AF5" s="76"/>
      <c r="AG5" s="64">
        <f t="shared" si="0"/>
        <v>0</v>
      </c>
    </row>
    <row r="6" spans="1:33" x14ac:dyDescent="0.25">
      <c r="A6" s="2" t="s">
        <v>79</v>
      </c>
      <c r="B6" s="92"/>
      <c r="C6" s="92"/>
      <c r="D6" s="46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76"/>
      <c r="AD6" s="76"/>
      <c r="AE6" s="76"/>
      <c r="AF6" s="76"/>
      <c r="AG6" s="64">
        <f t="shared" si="0"/>
        <v>0</v>
      </c>
    </row>
    <row r="7" spans="1:33" ht="15" customHeight="1" x14ac:dyDescent="0.25">
      <c r="A7" s="2" t="s">
        <v>80</v>
      </c>
      <c r="B7" s="92"/>
      <c r="C7" s="92">
        <v>7</v>
      </c>
      <c r="D7" s="46">
        <v>389643</v>
      </c>
      <c r="E7" s="92">
        <v>8386</v>
      </c>
      <c r="F7" s="92">
        <v>95.06</v>
      </c>
      <c r="G7" s="92"/>
      <c r="H7" s="92">
        <f>160735+2000</f>
        <v>162735</v>
      </c>
      <c r="I7" s="92"/>
      <c r="J7" s="92"/>
      <c r="L7" s="92">
        <v>555</v>
      </c>
      <c r="M7" s="92">
        <v>4060</v>
      </c>
      <c r="N7" s="92"/>
      <c r="O7" s="92"/>
      <c r="P7" s="92">
        <v>95</v>
      </c>
      <c r="Q7" s="92"/>
      <c r="R7" s="92">
        <v>6398</v>
      </c>
      <c r="S7" s="92">
        <v>1060</v>
      </c>
      <c r="T7" s="92">
        <v>16146.14</v>
      </c>
      <c r="U7" s="92">
        <v>10</v>
      </c>
      <c r="V7" s="92"/>
      <c r="W7" s="92">
        <v>538</v>
      </c>
      <c r="X7" s="92"/>
      <c r="Y7" s="92"/>
      <c r="Z7" s="92"/>
      <c r="AA7" s="92">
        <v>18903</v>
      </c>
      <c r="AB7" s="92">
        <v>11</v>
      </c>
      <c r="AC7" s="76">
        <v>40653.599999999999</v>
      </c>
      <c r="AD7" s="76">
        <v>101541</v>
      </c>
      <c r="AE7" s="76">
        <v>89009</v>
      </c>
      <c r="AF7" s="76"/>
      <c r="AG7" s="64">
        <f t="shared" si="0"/>
        <v>839845.8</v>
      </c>
    </row>
    <row r="8" spans="1:33" x14ac:dyDescent="0.25">
      <c r="A8" s="2" t="s">
        <v>81</v>
      </c>
      <c r="B8" s="92"/>
      <c r="C8" s="92">
        <v>39</v>
      </c>
      <c r="D8" s="46"/>
      <c r="E8" s="92"/>
      <c r="F8" s="92">
        <v>25</v>
      </c>
      <c r="G8" s="92"/>
      <c r="H8" s="92">
        <v>2179</v>
      </c>
      <c r="I8" s="92"/>
      <c r="J8" s="92">
        <v>28.37</v>
      </c>
      <c r="K8" s="92"/>
      <c r="L8" s="92">
        <v>254</v>
      </c>
      <c r="M8" s="92"/>
      <c r="N8" s="92"/>
      <c r="O8" s="92"/>
      <c r="P8" s="92"/>
      <c r="Q8" s="92"/>
      <c r="R8" s="92">
        <v>25</v>
      </c>
      <c r="S8" s="92"/>
      <c r="T8" s="92"/>
      <c r="U8" s="92"/>
      <c r="V8" s="92"/>
      <c r="W8" s="92"/>
      <c r="X8" s="92"/>
      <c r="Y8" s="92">
        <v>30</v>
      </c>
      <c r="Z8" s="92"/>
      <c r="AA8" s="92">
        <v>2000</v>
      </c>
      <c r="AB8" s="92">
        <v>139</v>
      </c>
      <c r="AC8" s="76">
        <v>636534.12</v>
      </c>
      <c r="AD8" s="76"/>
      <c r="AE8" s="76"/>
      <c r="AF8" s="76"/>
      <c r="AG8" s="64">
        <f t="shared" si="0"/>
        <v>641253.49</v>
      </c>
    </row>
    <row r="9" spans="1:33" x14ac:dyDescent="0.25">
      <c r="A9" s="2" t="s">
        <v>82</v>
      </c>
      <c r="B9" s="92">
        <v>348</v>
      </c>
      <c r="C9" s="92">
        <v>2741</v>
      </c>
      <c r="D9" s="46">
        <v>17855</v>
      </c>
      <c r="E9" s="92">
        <v>21389</v>
      </c>
      <c r="F9" s="92">
        <v>4298.07</v>
      </c>
      <c r="G9" s="92">
        <v>1944</v>
      </c>
      <c r="H9" s="92">
        <v>196.94</v>
      </c>
      <c r="I9" s="92">
        <v>248</v>
      </c>
      <c r="J9" s="92">
        <v>1251.96</v>
      </c>
      <c r="K9" s="92">
        <v>7952</v>
      </c>
      <c r="L9" s="92">
        <v>14743</v>
      </c>
      <c r="M9" s="92">
        <v>6733</v>
      </c>
      <c r="N9" s="92">
        <v>23099</v>
      </c>
      <c r="O9" s="92">
        <v>620</v>
      </c>
      <c r="P9" s="92">
        <v>17.75</v>
      </c>
      <c r="Q9" s="92">
        <v>2371.2199999999998</v>
      </c>
      <c r="R9" s="92">
        <v>1972.88</v>
      </c>
      <c r="S9" s="92">
        <v>2245.6799999999998</v>
      </c>
      <c r="T9" s="92">
        <v>172219</v>
      </c>
      <c r="U9" s="92">
        <v>657</v>
      </c>
      <c r="V9" s="92">
        <v>67</v>
      </c>
      <c r="W9" s="92">
        <v>13525</v>
      </c>
      <c r="X9" s="92">
        <v>3210.64</v>
      </c>
      <c r="Y9" s="92">
        <v>5664</v>
      </c>
      <c r="Z9" s="92">
        <f>4706+625</f>
        <v>5331</v>
      </c>
      <c r="AA9" s="92">
        <v>59317</v>
      </c>
      <c r="AB9" s="92">
        <v>24216</v>
      </c>
      <c r="AC9" s="76">
        <v>88619.09</v>
      </c>
      <c r="AD9" s="76">
        <v>112641</v>
      </c>
      <c r="AE9" s="76">
        <v>21860</v>
      </c>
      <c r="AF9" s="76">
        <v>3323</v>
      </c>
      <c r="AG9" s="64">
        <f t="shared" si="0"/>
        <v>620676.23</v>
      </c>
    </row>
    <row r="10" spans="1:33" x14ac:dyDescent="0.25">
      <c r="A10" s="2" t="s">
        <v>83</v>
      </c>
      <c r="B10" s="92"/>
      <c r="C10" s="92"/>
      <c r="D10" s="46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>
        <v>2854</v>
      </c>
      <c r="X10" s="92"/>
      <c r="Y10" s="92"/>
      <c r="Z10" s="92"/>
      <c r="AA10" s="92"/>
      <c r="AB10" s="92"/>
      <c r="AC10" s="76"/>
      <c r="AD10" s="76"/>
      <c r="AE10" s="76"/>
      <c r="AF10" s="76"/>
      <c r="AG10" s="64">
        <f t="shared" si="0"/>
        <v>2854</v>
      </c>
    </row>
    <row r="11" spans="1:33" x14ac:dyDescent="0.25">
      <c r="A11" s="2" t="s">
        <v>84</v>
      </c>
      <c r="B11" s="92"/>
      <c r="C11" s="92"/>
      <c r="D11" s="46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76"/>
      <c r="AD11" s="76"/>
      <c r="AE11" s="76"/>
      <c r="AF11" s="76"/>
      <c r="AG11" s="64">
        <f t="shared" si="0"/>
        <v>0</v>
      </c>
    </row>
    <row r="12" spans="1:33" x14ac:dyDescent="0.25">
      <c r="A12" s="2" t="s">
        <v>85</v>
      </c>
      <c r="B12" s="92"/>
      <c r="C12" s="92"/>
      <c r="D12" s="46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76"/>
      <c r="AD12" s="76"/>
      <c r="AE12" s="76"/>
      <c r="AF12" s="76"/>
      <c r="AG12" s="64">
        <f t="shared" si="0"/>
        <v>0</v>
      </c>
    </row>
    <row r="13" spans="1:33" x14ac:dyDescent="0.25">
      <c r="A13" s="2" t="s">
        <v>86</v>
      </c>
      <c r="B13" s="92"/>
      <c r="C13" s="92"/>
      <c r="D13" s="46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76"/>
      <c r="AD13" s="76"/>
      <c r="AE13" s="76"/>
      <c r="AF13" s="76"/>
      <c r="AG13" s="64">
        <f t="shared" si="0"/>
        <v>0</v>
      </c>
    </row>
    <row r="14" spans="1:33" x14ac:dyDescent="0.25">
      <c r="A14" s="2" t="s">
        <v>87</v>
      </c>
      <c r="B14" s="92"/>
      <c r="C14" s="92"/>
      <c r="D14" s="46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76">
        <v>166559.92000000001</v>
      </c>
      <c r="AD14" s="76"/>
      <c r="AE14" s="76">
        <v>24793</v>
      </c>
      <c r="AF14" s="76"/>
      <c r="AG14" s="64">
        <f t="shared" si="0"/>
        <v>191352.92</v>
      </c>
    </row>
    <row r="15" spans="1:33" x14ac:dyDescent="0.25">
      <c r="A15" s="2" t="s">
        <v>31</v>
      </c>
      <c r="B15" s="92">
        <f>B16-B14-B13-B12-B11-B10-B9-B8-B7-B6-B5-B4</f>
        <v>223</v>
      </c>
      <c r="C15" s="92">
        <f t="shared" ref="C15:AB15" si="1">C16-C14-C13-C12-C11-C10-C9-C8-C7-C6-C5-C4</f>
        <v>0</v>
      </c>
      <c r="D15" s="46">
        <f t="shared" si="1"/>
        <v>-1</v>
      </c>
      <c r="E15" s="92">
        <f t="shared" si="1"/>
        <v>0</v>
      </c>
      <c r="F15" s="92">
        <f t="shared" si="1"/>
        <v>0</v>
      </c>
      <c r="G15" s="92">
        <f t="shared" si="1"/>
        <v>217</v>
      </c>
      <c r="H15" s="92">
        <f t="shared" si="1"/>
        <v>0.99999999999301492</v>
      </c>
      <c r="I15" s="92">
        <f t="shared" si="1"/>
        <v>1</v>
      </c>
      <c r="J15" s="92">
        <f t="shared" si="1"/>
        <v>0</v>
      </c>
      <c r="K15" s="92">
        <f>K16-K14-K13-K12-K11-K10-K9-K8-K7-K6-K5-K4</f>
        <v>0</v>
      </c>
      <c r="L15" s="92">
        <f t="shared" si="1"/>
        <v>-1</v>
      </c>
      <c r="M15" s="92">
        <f t="shared" si="1"/>
        <v>0</v>
      </c>
      <c r="N15" s="92">
        <f t="shared" si="1"/>
        <v>0</v>
      </c>
      <c r="O15" s="92">
        <f t="shared" si="1"/>
        <v>-1</v>
      </c>
      <c r="P15" s="92">
        <f t="shared" si="1"/>
        <v>0</v>
      </c>
      <c r="Q15" s="92">
        <f t="shared" si="1"/>
        <v>1.2789769243681803E-13</v>
      </c>
      <c r="R15" s="92">
        <f t="shared" si="1"/>
        <v>-6.2527760746888816E-13</v>
      </c>
      <c r="S15" s="92">
        <f t="shared" si="1"/>
        <v>1.1368683772161603E-13</v>
      </c>
      <c r="T15" s="92">
        <f t="shared" si="1"/>
        <v>7.617018127348274E-12</v>
      </c>
      <c r="U15" s="92">
        <f t="shared" si="1"/>
        <v>0</v>
      </c>
      <c r="V15" s="92">
        <f t="shared" si="1"/>
        <v>1</v>
      </c>
      <c r="W15" s="92">
        <f t="shared" si="1"/>
        <v>0</v>
      </c>
      <c r="X15" s="92">
        <f t="shared" si="1"/>
        <v>0</v>
      </c>
      <c r="Y15" s="92">
        <f t="shared" si="1"/>
        <v>0</v>
      </c>
      <c r="Z15" s="92">
        <f t="shared" si="1"/>
        <v>0</v>
      </c>
      <c r="AA15" s="92">
        <f t="shared" si="1"/>
        <v>0</v>
      </c>
      <c r="AB15" s="92">
        <f t="shared" si="1"/>
        <v>-1</v>
      </c>
      <c r="AC15" s="76">
        <f t="shared" ref="AC15:AF15" si="2">AC16-AC14-AC13-AC12-AC11-AC10-AC9-AC8-AC7-AC6-AC5-AC4</f>
        <v>-5.439915184979327E-11</v>
      </c>
      <c r="AD15" s="76">
        <f t="shared" si="2"/>
        <v>0</v>
      </c>
      <c r="AE15" s="76">
        <f t="shared" si="2"/>
        <v>0</v>
      </c>
      <c r="AF15" s="76">
        <f t="shared" si="2"/>
        <v>0</v>
      </c>
      <c r="AG15" s="64">
        <f t="shared" si="0"/>
        <v>438.99999999994583</v>
      </c>
    </row>
    <row r="16" spans="1:33" s="7" customFormat="1" x14ac:dyDescent="0.25">
      <c r="A16" s="3" t="s">
        <v>40</v>
      </c>
      <c r="B16" s="10">
        <v>577</v>
      </c>
      <c r="C16" s="10">
        <v>2809</v>
      </c>
      <c r="D16" s="48">
        <v>407498</v>
      </c>
      <c r="E16" s="10">
        <v>34333</v>
      </c>
      <c r="F16" s="10">
        <v>4799.92</v>
      </c>
      <c r="G16" s="10">
        <v>2524</v>
      </c>
      <c r="H16" s="10">
        <v>165114.62</v>
      </c>
      <c r="I16" s="10">
        <v>265</v>
      </c>
      <c r="J16" s="10">
        <v>1375.91</v>
      </c>
      <c r="K16" s="10">
        <v>10363</v>
      </c>
      <c r="L16" s="10">
        <v>18093</v>
      </c>
      <c r="M16" s="10">
        <v>11011</v>
      </c>
      <c r="N16" s="10">
        <v>23217</v>
      </c>
      <c r="O16" s="10">
        <v>929</v>
      </c>
      <c r="P16" s="10">
        <v>439.34</v>
      </c>
      <c r="Q16" s="10">
        <v>2398.08</v>
      </c>
      <c r="R16" s="10">
        <v>8514.06</v>
      </c>
      <c r="S16" s="10">
        <v>3426.06</v>
      </c>
      <c r="T16" s="10">
        <v>189256.32000000001</v>
      </c>
      <c r="U16" s="10">
        <v>690</v>
      </c>
      <c r="V16" s="10">
        <v>69</v>
      </c>
      <c r="W16" s="10">
        <v>16997</v>
      </c>
      <c r="X16" s="10">
        <v>3489.19</v>
      </c>
      <c r="Y16" s="10">
        <v>6247</v>
      </c>
      <c r="Z16" s="10">
        <v>5591</v>
      </c>
      <c r="AA16" s="92">
        <v>87811</v>
      </c>
      <c r="AB16" s="10">
        <v>24935</v>
      </c>
      <c r="AC16" s="10">
        <v>932786.57</v>
      </c>
      <c r="AD16" s="10">
        <v>214699</v>
      </c>
      <c r="AE16" s="10">
        <v>138066</v>
      </c>
      <c r="AF16" s="10">
        <v>3337</v>
      </c>
      <c r="AG16" s="63">
        <f t="shared" si="0"/>
        <v>2321661.0699999998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3.140625" style="71" customWidth="1"/>
    <col min="2" max="5" width="16" style="71" customWidth="1"/>
    <col min="6" max="6" width="18.140625" style="71" customWidth="1"/>
    <col min="7" max="20" width="16" style="71" customWidth="1"/>
    <col min="21" max="21" width="16" style="43" customWidth="1"/>
    <col min="22" max="32" width="16" style="71" customWidth="1"/>
    <col min="33" max="33" width="16" style="7" customWidth="1"/>
    <col min="34" max="16384" width="9.140625" style="71"/>
  </cols>
  <sheetData>
    <row r="1" spans="1:33" ht="18.75" x14ac:dyDescent="0.3">
      <c r="A1" s="12" t="s">
        <v>252</v>
      </c>
    </row>
    <row r="2" spans="1:33" x14ac:dyDescent="0.25">
      <c r="A2" s="13" t="s">
        <v>98</v>
      </c>
    </row>
    <row r="3" spans="1:33" s="95" customFormat="1" ht="15" customHeight="1" x14ac:dyDescent="0.25">
      <c r="A3" s="93" t="s">
        <v>0</v>
      </c>
      <c r="B3" s="104" t="s">
        <v>1</v>
      </c>
      <c r="C3" s="104" t="s">
        <v>233</v>
      </c>
      <c r="D3" s="104" t="s">
        <v>2</v>
      </c>
      <c r="E3" s="104" t="s">
        <v>3</v>
      </c>
      <c r="F3" s="104" t="s">
        <v>242</v>
      </c>
      <c r="G3" s="104" t="s">
        <v>234</v>
      </c>
      <c r="H3" s="104" t="s">
        <v>5</v>
      </c>
      <c r="I3" s="104" t="s">
        <v>4</v>
      </c>
      <c r="J3" s="104" t="s">
        <v>6</v>
      </c>
      <c r="K3" s="104" t="s">
        <v>254</v>
      </c>
      <c r="L3" s="104" t="s">
        <v>7</v>
      </c>
      <c r="M3" s="104" t="s">
        <v>8</v>
      </c>
      <c r="N3" s="104" t="s">
        <v>9</v>
      </c>
      <c r="O3" s="104" t="s">
        <v>241</v>
      </c>
      <c r="P3" s="128" t="s">
        <v>10</v>
      </c>
      <c r="Q3" s="128" t="s">
        <v>11</v>
      </c>
      <c r="R3" s="128" t="s">
        <v>235</v>
      </c>
      <c r="S3" s="128" t="s">
        <v>253</v>
      </c>
      <c r="T3" s="128" t="s">
        <v>12</v>
      </c>
      <c r="U3" s="134" t="s">
        <v>236</v>
      </c>
      <c r="V3" s="104" t="s">
        <v>237</v>
      </c>
      <c r="W3" s="104" t="s">
        <v>240</v>
      </c>
      <c r="X3" s="104" t="s">
        <v>13</v>
      </c>
      <c r="Y3" s="104" t="s">
        <v>14</v>
      </c>
      <c r="Z3" s="104" t="s">
        <v>15</v>
      </c>
      <c r="AA3" s="104" t="s">
        <v>16</v>
      </c>
      <c r="AB3" s="104" t="s">
        <v>17</v>
      </c>
      <c r="AC3" s="103" t="s">
        <v>238</v>
      </c>
      <c r="AD3" s="103" t="s">
        <v>239</v>
      </c>
      <c r="AE3" s="103" t="s">
        <v>18</v>
      </c>
      <c r="AF3" s="104" t="s">
        <v>19</v>
      </c>
      <c r="AG3" s="94" t="s">
        <v>20</v>
      </c>
    </row>
    <row r="4" spans="1:33" s="95" customFormat="1" ht="15" customHeight="1" x14ac:dyDescent="0.25">
      <c r="A4" s="96" t="s">
        <v>88</v>
      </c>
      <c r="B4" s="97">
        <v>577</v>
      </c>
      <c r="C4" s="97">
        <v>2216</v>
      </c>
      <c r="D4" s="97"/>
      <c r="E4" s="97">
        <v>11513</v>
      </c>
      <c r="F4" s="97">
        <v>2631.42</v>
      </c>
      <c r="G4" s="97">
        <v>3849</v>
      </c>
      <c r="H4" s="97"/>
      <c r="I4" s="97">
        <v>134</v>
      </c>
      <c r="J4" s="97">
        <v>1394.42</v>
      </c>
      <c r="K4" s="97">
        <v>3564</v>
      </c>
      <c r="L4" s="97">
        <v>4502</v>
      </c>
      <c r="M4" s="97">
        <v>2287</v>
      </c>
      <c r="N4" s="97">
        <v>6299</v>
      </c>
      <c r="O4" s="97">
        <v>299</v>
      </c>
      <c r="P4" s="129">
        <v>2340</v>
      </c>
      <c r="Q4" s="129">
        <v>237.21</v>
      </c>
      <c r="R4" s="129">
        <v>714.83</v>
      </c>
      <c r="S4" s="130">
        <v>1733.21</v>
      </c>
      <c r="T4" s="129">
        <v>12207.01</v>
      </c>
      <c r="U4" s="130">
        <v>767</v>
      </c>
      <c r="V4" s="97">
        <v>388</v>
      </c>
      <c r="W4" s="97">
        <v>2964</v>
      </c>
      <c r="X4" s="97">
        <v>2734.66</v>
      </c>
      <c r="Y4" s="97">
        <v>6347</v>
      </c>
      <c r="Z4" s="97">
        <v>1216</v>
      </c>
      <c r="AA4" s="97">
        <v>3926</v>
      </c>
      <c r="AB4" s="97">
        <v>11681</v>
      </c>
      <c r="AC4" s="97">
        <v>19653.55</v>
      </c>
      <c r="AD4" s="97">
        <v>11565</v>
      </c>
      <c r="AE4" s="97">
        <v>11415</v>
      </c>
      <c r="AF4" s="97">
        <v>2702</v>
      </c>
      <c r="AG4" s="98">
        <f t="shared" ref="AG4:AG15" si="0">SUM(B4:AF4)</f>
        <v>131857.31</v>
      </c>
    </row>
    <row r="5" spans="1:33" s="95" customFormat="1" ht="15" customHeight="1" x14ac:dyDescent="0.25">
      <c r="A5" s="96" t="s">
        <v>89</v>
      </c>
      <c r="B5" s="97">
        <v>8793</v>
      </c>
      <c r="C5" s="97">
        <v>9661</v>
      </c>
      <c r="D5" s="97">
        <v>616858</v>
      </c>
      <c r="E5" s="97">
        <v>266816</v>
      </c>
      <c r="F5" s="97">
        <v>338.94</v>
      </c>
      <c r="G5" s="97">
        <v>16451</v>
      </c>
      <c r="H5" s="97">
        <v>9997.5499999999993</v>
      </c>
      <c r="I5" s="97">
        <v>1917</v>
      </c>
      <c r="J5" s="97">
        <v>41402.629999999997</v>
      </c>
      <c r="K5" s="97">
        <v>22870</v>
      </c>
      <c r="L5" s="97">
        <v>309685</v>
      </c>
      <c r="M5" s="97">
        <v>203520</v>
      </c>
      <c r="N5" s="97">
        <v>150276</v>
      </c>
      <c r="O5" s="97">
        <v>1411</v>
      </c>
      <c r="P5" s="129">
        <v>2448.9699999999998</v>
      </c>
      <c r="Q5" s="129">
        <v>5937.97</v>
      </c>
      <c r="R5" s="129">
        <v>131.03</v>
      </c>
      <c r="S5" s="130">
        <v>15529.19</v>
      </c>
      <c r="T5" s="129">
        <v>179151.35999999999</v>
      </c>
      <c r="U5" s="130">
        <v>202</v>
      </c>
      <c r="V5" s="97">
        <v>1434</v>
      </c>
      <c r="W5" s="97">
        <v>166452</v>
      </c>
      <c r="X5" s="97">
        <v>41721.919999999998</v>
      </c>
      <c r="Y5" s="97">
        <v>138414</v>
      </c>
      <c r="Z5" s="97">
        <v>1524</v>
      </c>
      <c r="AA5" s="97">
        <v>355</v>
      </c>
      <c r="AB5" s="97">
        <v>137647</v>
      </c>
      <c r="AC5" s="97">
        <v>155370.28</v>
      </c>
      <c r="AD5" s="97">
        <v>68321</v>
      </c>
      <c r="AE5" s="97">
        <v>101093</v>
      </c>
      <c r="AF5" s="97">
        <v>97597</v>
      </c>
      <c r="AG5" s="98">
        <f t="shared" si="0"/>
        <v>2773326.84</v>
      </c>
    </row>
    <row r="6" spans="1:33" s="95" customFormat="1" ht="15" customHeight="1" x14ac:dyDescent="0.25">
      <c r="A6" s="96" t="s">
        <v>90</v>
      </c>
      <c r="B6" s="97">
        <v>4159</v>
      </c>
      <c r="C6" s="97"/>
      <c r="D6" s="97"/>
      <c r="E6" s="97"/>
      <c r="F6" s="97"/>
      <c r="G6" s="97">
        <v>22347</v>
      </c>
      <c r="H6" s="97"/>
      <c r="I6" s="97"/>
      <c r="J6" s="97"/>
      <c r="K6" s="97"/>
      <c r="L6" s="97"/>
      <c r="M6" s="97">
        <v>2843</v>
      </c>
      <c r="N6" s="97"/>
      <c r="O6" s="97">
        <v>1305</v>
      </c>
      <c r="P6" s="129"/>
      <c r="Q6" s="129">
        <v>11136.03</v>
      </c>
      <c r="R6" s="129"/>
      <c r="S6" s="130"/>
      <c r="T6" s="129">
        <v>130148.84</v>
      </c>
      <c r="U6" s="130"/>
      <c r="V6" s="97"/>
      <c r="W6" s="97"/>
      <c r="X6" s="97"/>
      <c r="Y6" s="97"/>
      <c r="Z6" s="97"/>
      <c r="AA6" s="97"/>
      <c r="AB6" s="97"/>
      <c r="AC6" s="97">
        <v>7118.82</v>
      </c>
      <c r="AD6" s="97">
        <v>8958</v>
      </c>
      <c r="AE6" s="97"/>
      <c r="AF6" s="97"/>
      <c r="AG6" s="98">
        <f t="shared" si="0"/>
        <v>188015.69</v>
      </c>
    </row>
    <row r="7" spans="1:33" s="95" customFormat="1" ht="15" customHeight="1" x14ac:dyDescent="0.25">
      <c r="A7" s="96" t="s">
        <v>91</v>
      </c>
      <c r="B7" s="97"/>
      <c r="C7" s="97">
        <f>117+1880</f>
        <v>1997</v>
      </c>
      <c r="D7" s="97"/>
      <c r="E7" s="97">
        <v>114120</v>
      </c>
      <c r="F7" s="97">
        <v>7463.03</v>
      </c>
      <c r="G7" s="97">
        <f>99903+4211</f>
        <v>104114</v>
      </c>
      <c r="H7" s="97">
        <f>3794.42+22209.21</f>
        <v>26003.629999999997</v>
      </c>
      <c r="I7" s="97">
        <f>1340+150</f>
        <v>1490</v>
      </c>
      <c r="J7" s="97">
        <f>13333.55+839.7</f>
        <v>14173.25</v>
      </c>
      <c r="K7" s="97">
        <v>2716</v>
      </c>
      <c r="L7" s="97">
        <v>92495</v>
      </c>
      <c r="M7" s="97">
        <v>373951</v>
      </c>
      <c r="N7" s="97">
        <f>76140+2856</f>
        <v>78996</v>
      </c>
      <c r="O7" s="97">
        <v>3488</v>
      </c>
      <c r="P7" s="129">
        <v>46241.03</v>
      </c>
      <c r="Q7" s="129">
        <v>38062.67</v>
      </c>
      <c r="R7" s="129">
        <v>1592.02</v>
      </c>
      <c r="S7" s="130">
        <v>1988</v>
      </c>
      <c r="T7" s="129">
        <f>96031.47+1124.55</f>
        <v>97156.02</v>
      </c>
      <c r="U7" s="130">
        <v>1617</v>
      </c>
      <c r="V7" s="97">
        <v>2271</v>
      </c>
      <c r="W7" s="97">
        <v>76222</v>
      </c>
      <c r="X7" s="97">
        <v>1344.74</v>
      </c>
      <c r="Y7" s="97">
        <v>33417</v>
      </c>
      <c r="Z7" s="97">
        <v>31858</v>
      </c>
      <c r="AA7" s="97">
        <f>9437+2873</f>
        <v>12310</v>
      </c>
      <c r="AB7" s="97">
        <v>159609</v>
      </c>
      <c r="AC7" s="97">
        <v>91154.39</v>
      </c>
      <c r="AD7" s="97">
        <v>49438</v>
      </c>
      <c r="AE7" s="97">
        <v>34316</v>
      </c>
      <c r="AF7" s="97">
        <v>16230</v>
      </c>
      <c r="AG7" s="98">
        <f t="shared" si="0"/>
        <v>1515833.78</v>
      </c>
    </row>
    <row r="8" spans="1:33" s="95" customFormat="1" ht="15" customHeight="1" x14ac:dyDescent="0.25">
      <c r="A8" s="96" t="s">
        <v>92</v>
      </c>
      <c r="B8" s="97"/>
      <c r="C8" s="97">
        <v>5521</v>
      </c>
      <c r="D8" s="97"/>
      <c r="E8" s="97">
        <v>25835</v>
      </c>
      <c r="F8" s="97">
        <v>7692.19</v>
      </c>
      <c r="G8" s="97">
        <v>7661</v>
      </c>
      <c r="H8" s="97">
        <v>5927.13</v>
      </c>
      <c r="I8" s="97">
        <v>584</v>
      </c>
      <c r="J8" s="97">
        <v>16173.5</v>
      </c>
      <c r="K8" s="97">
        <v>82399</v>
      </c>
      <c r="L8" s="97">
        <v>50898</v>
      </c>
      <c r="M8" s="97">
        <v>46968</v>
      </c>
      <c r="N8" s="97">
        <v>1757</v>
      </c>
      <c r="O8" s="97">
        <v>1306</v>
      </c>
      <c r="P8" s="129">
        <v>3570.54</v>
      </c>
      <c r="Q8" s="129">
        <v>1481.17</v>
      </c>
      <c r="R8" s="129">
        <v>2559.2199999999998</v>
      </c>
      <c r="S8" s="130">
        <v>1530.97</v>
      </c>
      <c r="T8" s="129">
        <v>39107.14</v>
      </c>
      <c r="U8" s="130">
        <v>329</v>
      </c>
      <c r="V8" s="97">
        <v>158</v>
      </c>
      <c r="W8" s="97">
        <v>3556</v>
      </c>
      <c r="X8" s="97">
        <v>544.63</v>
      </c>
      <c r="Y8" s="97">
        <v>17020</v>
      </c>
      <c r="Z8" s="97">
        <v>702</v>
      </c>
      <c r="AA8" s="97">
        <v>1075</v>
      </c>
      <c r="AB8" s="97">
        <v>23208</v>
      </c>
      <c r="AC8" s="97">
        <v>108583.73</v>
      </c>
      <c r="AD8" s="97"/>
      <c r="AE8" s="97"/>
      <c r="AF8" s="97">
        <v>445</v>
      </c>
      <c r="AG8" s="98">
        <f t="shared" si="0"/>
        <v>456592.22000000003</v>
      </c>
    </row>
    <row r="9" spans="1:33" s="95" customFormat="1" ht="15" customHeight="1" x14ac:dyDescent="0.25">
      <c r="A9" s="96" t="s">
        <v>93</v>
      </c>
      <c r="B9" s="97">
        <v>3120</v>
      </c>
      <c r="C9" s="97">
        <v>10844</v>
      </c>
      <c r="D9" s="97">
        <v>47510</v>
      </c>
      <c r="E9" s="97">
        <v>50550</v>
      </c>
      <c r="F9" s="97">
        <v>18365.3</v>
      </c>
      <c r="G9" s="97">
        <v>1037</v>
      </c>
      <c r="H9" s="97">
        <v>2423.56</v>
      </c>
      <c r="I9" s="97">
        <v>1605</v>
      </c>
      <c r="J9" s="97">
        <v>22580.97</v>
      </c>
      <c r="K9" s="97">
        <v>14029</v>
      </c>
      <c r="L9" s="97">
        <v>71452</v>
      </c>
      <c r="M9" s="97">
        <v>100327</v>
      </c>
      <c r="N9" s="97">
        <v>8287</v>
      </c>
      <c r="O9" s="97">
        <v>519</v>
      </c>
      <c r="P9" s="129">
        <v>7823.17</v>
      </c>
      <c r="Q9" s="129">
        <v>7196.7</v>
      </c>
      <c r="R9" s="129">
        <v>539.41999999999996</v>
      </c>
      <c r="S9" s="130">
        <v>16653.75</v>
      </c>
      <c r="T9" s="129">
        <v>242603.79</v>
      </c>
      <c r="U9" s="130">
        <v>4620</v>
      </c>
      <c r="V9" s="97">
        <v>2010</v>
      </c>
      <c r="W9" s="97">
        <v>58274</v>
      </c>
      <c r="X9" s="97">
        <v>15166.39</v>
      </c>
      <c r="Y9" s="97">
        <v>6189</v>
      </c>
      <c r="Z9" s="97">
        <v>2473</v>
      </c>
      <c r="AA9" s="97">
        <v>23299</v>
      </c>
      <c r="AB9" s="97">
        <v>30759</v>
      </c>
      <c r="AC9" s="97">
        <v>256399.47</v>
      </c>
      <c r="AD9" s="97">
        <v>226028</v>
      </c>
      <c r="AE9" s="97">
        <v>189309</v>
      </c>
      <c r="AF9" s="97">
        <v>10544</v>
      </c>
      <c r="AG9" s="98">
        <f t="shared" si="0"/>
        <v>1452537.52</v>
      </c>
    </row>
    <row r="10" spans="1:33" s="95" customFormat="1" ht="15" customHeight="1" x14ac:dyDescent="0.25">
      <c r="A10" s="96" t="s">
        <v>94</v>
      </c>
      <c r="B10" s="97">
        <v>158</v>
      </c>
      <c r="C10" s="97">
        <v>540</v>
      </c>
      <c r="D10" s="97"/>
      <c r="E10" s="97"/>
      <c r="F10" s="97"/>
      <c r="G10" s="97"/>
      <c r="H10" s="97"/>
      <c r="I10" s="97"/>
      <c r="J10" s="97"/>
      <c r="K10" s="97">
        <v>75</v>
      </c>
      <c r="L10" s="97"/>
      <c r="M10" s="97"/>
      <c r="N10" s="97">
        <v>21</v>
      </c>
      <c r="O10" s="97">
        <v>217</v>
      </c>
      <c r="P10" s="129"/>
      <c r="Q10" s="129"/>
      <c r="R10" s="129"/>
      <c r="S10" s="129"/>
      <c r="T10" s="129"/>
      <c r="U10" s="130">
        <v>332</v>
      </c>
      <c r="V10" s="97"/>
      <c r="W10" s="97"/>
      <c r="X10" s="97"/>
      <c r="Y10" s="97">
        <v>1769</v>
      </c>
      <c r="Z10" s="97"/>
      <c r="AA10" s="97"/>
      <c r="AB10" s="97"/>
      <c r="AC10" s="97"/>
      <c r="AD10" s="97"/>
      <c r="AE10" s="97"/>
      <c r="AF10" s="97"/>
      <c r="AG10" s="98">
        <f t="shared" si="0"/>
        <v>3112</v>
      </c>
    </row>
    <row r="11" spans="1:33" s="95" customFormat="1" ht="15" customHeight="1" x14ac:dyDescent="0.25">
      <c r="A11" s="96" t="s">
        <v>95</v>
      </c>
      <c r="B11" s="97">
        <v>17582</v>
      </c>
      <c r="C11" s="97">
        <v>14675</v>
      </c>
      <c r="D11" s="97">
        <v>949631</v>
      </c>
      <c r="E11" s="97">
        <v>1090700</v>
      </c>
      <c r="F11" s="97">
        <v>46584.73</v>
      </c>
      <c r="G11" s="97">
        <v>677392</v>
      </c>
      <c r="H11" s="97">
        <v>755213.58</v>
      </c>
      <c r="I11" s="97">
        <v>18130</v>
      </c>
      <c r="J11" s="97">
        <v>269481.83</v>
      </c>
      <c r="K11" s="97">
        <v>299064</v>
      </c>
      <c r="L11" s="97">
        <v>691324</v>
      </c>
      <c r="M11" s="97">
        <v>2452978</v>
      </c>
      <c r="N11" s="97">
        <v>696039</v>
      </c>
      <c r="O11" s="97">
        <v>42725</v>
      </c>
      <c r="P11" s="129">
        <v>122052.51</v>
      </c>
      <c r="Q11" s="129">
        <v>186245.94</v>
      </c>
      <c r="R11" s="129">
        <v>11986.89</v>
      </c>
      <c r="S11" s="130">
        <v>23954.45</v>
      </c>
      <c r="T11" s="129">
        <v>2120258.36</v>
      </c>
      <c r="U11" s="130">
        <v>11292</v>
      </c>
      <c r="V11" s="97">
        <v>37087</v>
      </c>
      <c r="W11" s="97">
        <v>830235</v>
      </c>
      <c r="X11" s="97">
        <v>434271.62</v>
      </c>
      <c r="Y11" s="97">
        <v>402296</v>
      </c>
      <c r="Z11" s="97">
        <v>765503</v>
      </c>
      <c r="AA11" s="97">
        <v>80871</v>
      </c>
      <c r="AB11" s="97">
        <v>799708</v>
      </c>
      <c r="AC11" s="97">
        <v>3123939.09</v>
      </c>
      <c r="AD11" s="97">
        <v>1720000</v>
      </c>
      <c r="AE11" s="97">
        <v>2412534</v>
      </c>
      <c r="AF11" s="97">
        <v>165738</v>
      </c>
      <c r="AG11" s="98">
        <f t="shared" si="0"/>
        <v>21269493</v>
      </c>
    </row>
    <row r="12" spans="1:33" s="95" customFormat="1" ht="15" customHeight="1" x14ac:dyDescent="0.25">
      <c r="A12" s="96" t="s">
        <v>96</v>
      </c>
      <c r="B12" s="97"/>
      <c r="C12" s="97">
        <v>25</v>
      </c>
      <c r="D12" s="97"/>
      <c r="E12" s="97"/>
      <c r="F12" s="97"/>
      <c r="G12" s="97"/>
      <c r="H12" s="97">
        <v>7753.63</v>
      </c>
      <c r="I12" s="97"/>
      <c r="J12" s="97"/>
      <c r="K12" s="97"/>
      <c r="L12" s="97"/>
      <c r="M12" s="97"/>
      <c r="N12" s="97"/>
      <c r="O12" s="97"/>
      <c r="P12" s="129"/>
      <c r="Q12" s="129"/>
      <c r="R12" s="129"/>
      <c r="S12" s="129"/>
      <c r="T12" s="129"/>
      <c r="U12" s="130"/>
      <c r="V12" s="97"/>
      <c r="W12" s="97"/>
      <c r="X12" s="97"/>
      <c r="Y12" s="97"/>
      <c r="Z12" s="97"/>
      <c r="AA12" s="97"/>
      <c r="AB12" s="97">
        <v>9</v>
      </c>
      <c r="AC12" s="97"/>
      <c r="AD12" s="97"/>
      <c r="AE12" s="97"/>
      <c r="AF12" s="97"/>
      <c r="AG12" s="98">
        <f t="shared" si="0"/>
        <v>7787.63</v>
      </c>
    </row>
    <row r="13" spans="1:33" s="95" customFormat="1" ht="15" customHeight="1" x14ac:dyDescent="0.25">
      <c r="A13" s="96" t="s">
        <v>97</v>
      </c>
      <c r="B13" s="97"/>
      <c r="C13" s="97"/>
      <c r="D13" s="97">
        <v>6402</v>
      </c>
      <c r="E13" s="97">
        <v>597</v>
      </c>
      <c r="F13" s="97">
        <v>335.28</v>
      </c>
      <c r="G13" s="97">
        <f>302+120</f>
        <v>422</v>
      </c>
      <c r="H13" s="97">
        <v>156.08000000000001</v>
      </c>
      <c r="I13" s="97">
        <v>4</v>
      </c>
      <c r="J13" s="97">
        <f>232.52+1345.51</f>
        <v>1578.03</v>
      </c>
      <c r="K13" s="97">
        <v>165</v>
      </c>
      <c r="L13" s="97">
        <v>3187</v>
      </c>
      <c r="M13" s="97">
        <v>44497</v>
      </c>
      <c r="N13" s="97">
        <f>1823+501</f>
        <v>2324</v>
      </c>
      <c r="O13" s="97">
        <v>13</v>
      </c>
      <c r="P13" s="129">
        <f>42.99+7602.6</f>
        <v>7645.59</v>
      </c>
      <c r="Q13" s="129">
        <v>440.48999999999995</v>
      </c>
      <c r="R13" s="129">
        <v>104.08</v>
      </c>
      <c r="S13" s="130">
        <v>183.48000000000002</v>
      </c>
      <c r="T13" s="129">
        <f>11110.12+2474.46</f>
        <v>13584.580000000002</v>
      </c>
      <c r="U13" s="130">
        <v>5</v>
      </c>
      <c r="V13" s="97">
        <v>4</v>
      </c>
      <c r="W13" s="97">
        <v>9235</v>
      </c>
      <c r="X13" s="97">
        <v>832.57</v>
      </c>
      <c r="Y13" s="97">
        <v>993</v>
      </c>
      <c r="Z13" s="97">
        <v>2186</v>
      </c>
      <c r="AA13" s="97">
        <f>1307+195</f>
        <v>1502</v>
      </c>
      <c r="AB13" s="97">
        <v>3641</v>
      </c>
      <c r="AC13" s="97">
        <v>22768.55</v>
      </c>
      <c r="AD13" s="97">
        <f>10034+432</f>
        <v>10466</v>
      </c>
      <c r="AE13" s="97">
        <f>6157+2035</f>
        <v>8192</v>
      </c>
      <c r="AF13" s="97">
        <f>866+188</f>
        <v>1054</v>
      </c>
      <c r="AG13" s="98">
        <f t="shared" si="0"/>
        <v>142517.73000000001</v>
      </c>
    </row>
    <row r="14" spans="1:33" s="95" customFormat="1" ht="15" customHeight="1" x14ac:dyDescent="0.25">
      <c r="A14" s="96" t="s">
        <v>31</v>
      </c>
      <c r="B14" s="97">
        <v>3529</v>
      </c>
      <c r="C14" s="97">
        <f t="shared" ref="C14:D14" si="1">C15-C13-C12-C11-C10-C9-C8-C7-C6-C5-C4</f>
        <v>5998</v>
      </c>
      <c r="D14" s="97">
        <f t="shared" si="1"/>
        <v>840020</v>
      </c>
      <c r="E14" s="97">
        <v>46801</v>
      </c>
      <c r="F14" s="97">
        <v>9698.8800000000047</v>
      </c>
      <c r="G14" s="97">
        <f t="shared" ref="G14:K14" si="2">G15-G13-G12-G11-G10-G9-G8-G7-G6-G5-G4</f>
        <v>25488</v>
      </c>
      <c r="H14" s="97">
        <f t="shared" si="2"/>
        <v>2086.1800000000549</v>
      </c>
      <c r="I14" s="97">
        <f t="shared" si="2"/>
        <v>316</v>
      </c>
      <c r="J14" s="97">
        <f t="shared" si="2"/>
        <v>5563.1799999999548</v>
      </c>
      <c r="K14" s="97">
        <f t="shared" si="2"/>
        <v>13991</v>
      </c>
      <c r="L14" s="97">
        <v>6881</v>
      </c>
      <c r="M14" s="97">
        <v>29252</v>
      </c>
      <c r="N14" s="135">
        <f t="shared" ref="N14" si="3">N15-N13-N12-N11-N10-N9-N8-N7-N6-N5-N4</f>
        <v>107536</v>
      </c>
      <c r="O14" s="97">
        <v>4497</v>
      </c>
      <c r="P14" s="129">
        <v>0</v>
      </c>
      <c r="Q14" s="129">
        <v>5213.6300000000101</v>
      </c>
      <c r="R14" s="129">
        <v>8504.59</v>
      </c>
      <c r="S14" s="129">
        <v>3091.5799999999954</v>
      </c>
      <c r="T14" s="129">
        <v>0</v>
      </c>
      <c r="U14" s="136">
        <f t="shared" ref="U14" si="4">U15-U13-U12-U11-U10-U9-U8-U7-U6-U5-U4</f>
        <v>1663</v>
      </c>
      <c r="V14" s="97">
        <v>167</v>
      </c>
      <c r="W14" s="97">
        <v>61562</v>
      </c>
      <c r="X14" s="97">
        <v>15609.959999999995</v>
      </c>
      <c r="Y14" s="97">
        <v>17121</v>
      </c>
      <c r="Z14" s="97">
        <v>8434</v>
      </c>
      <c r="AA14" s="97">
        <f t="shared" ref="AA14:AF14" si="5">AA15-AA13-AA12-AA11-AA10-AA9-AA8-AA7-AA6-AA5-AA4</f>
        <v>33361</v>
      </c>
      <c r="AB14" s="97">
        <v>7610</v>
      </c>
      <c r="AC14" s="97">
        <f t="shared" si="5"/>
        <v>5167.7900000002883</v>
      </c>
      <c r="AD14" s="97">
        <f t="shared" si="5"/>
        <v>34918</v>
      </c>
      <c r="AE14" s="97">
        <f t="shared" si="5"/>
        <v>18561</v>
      </c>
      <c r="AF14" s="97">
        <f t="shared" si="5"/>
        <v>787</v>
      </c>
      <c r="AG14" s="98">
        <f t="shared" si="0"/>
        <v>1323428.7900000005</v>
      </c>
    </row>
    <row r="15" spans="1:33" s="102" customFormat="1" ht="15" customHeight="1" x14ac:dyDescent="0.25">
      <c r="A15" s="99" t="s">
        <v>40</v>
      </c>
      <c r="B15" s="100">
        <v>37918</v>
      </c>
      <c r="C15" s="100">
        <v>51477</v>
      </c>
      <c r="D15" s="100">
        <v>2460421</v>
      </c>
      <c r="E15" s="100">
        <v>1606932</v>
      </c>
      <c r="F15" s="100">
        <v>93109.77</v>
      </c>
      <c r="G15" s="100">
        <v>858761</v>
      </c>
      <c r="H15" s="100">
        <v>809561.34</v>
      </c>
      <c r="I15" s="97">
        <v>24180</v>
      </c>
      <c r="J15" s="100">
        <v>372347.81</v>
      </c>
      <c r="K15" s="100">
        <v>438873</v>
      </c>
      <c r="L15" s="100">
        <v>1230424</v>
      </c>
      <c r="M15" s="100">
        <v>3256623</v>
      </c>
      <c r="N15" s="100">
        <v>1051535</v>
      </c>
      <c r="O15" s="100">
        <v>55780</v>
      </c>
      <c r="P15" s="100">
        <v>189291.3</v>
      </c>
      <c r="Q15" s="100">
        <v>255951.81</v>
      </c>
      <c r="R15" s="100">
        <v>26132.080000000002</v>
      </c>
      <c r="S15" s="100">
        <v>64664.63</v>
      </c>
      <c r="T15" s="100">
        <v>2882823.47</v>
      </c>
      <c r="U15" s="137">
        <v>20827</v>
      </c>
      <c r="V15" s="100">
        <v>43519</v>
      </c>
      <c r="W15" s="100">
        <v>1208500</v>
      </c>
      <c r="X15" s="100">
        <v>512226.49</v>
      </c>
      <c r="Y15" s="100">
        <v>623566</v>
      </c>
      <c r="Z15" s="100">
        <v>813896</v>
      </c>
      <c r="AA15" s="97">
        <v>156699</v>
      </c>
      <c r="AB15" s="100">
        <v>1173872</v>
      </c>
      <c r="AC15" s="100">
        <v>3790155.67</v>
      </c>
      <c r="AD15" s="100">
        <v>2129694</v>
      </c>
      <c r="AE15" s="100">
        <v>2775420</v>
      </c>
      <c r="AF15" s="100">
        <v>295097</v>
      </c>
      <c r="AG15" s="101">
        <f t="shared" si="0"/>
        <v>29310278.369999997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71" customWidth="1"/>
    <col min="2" max="32" width="16" style="71" customWidth="1"/>
    <col min="33" max="16384" width="9.140625" style="71"/>
  </cols>
  <sheetData>
    <row r="1" spans="1:32" ht="18.75" x14ac:dyDescent="0.3">
      <c r="A1" s="12" t="s">
        <v>281</v>
      </c>
    </row>
    <row r="2" spans="1:32" x14ac:dyDescent="0.25">
      <c r="A2" s="13" t="s">
        <v>98</v>
      </c>
    </row>
    <row r="3" spans="1:32" x14ac:dyDescent="0.25">
      <c r="A3" s="1" t="s">
        <v>0</v>
      </c>
      <c r="B3" s="127" t="s">
        <v>1</v>
      </c>
      <c r="C3" s="127" t="s">
        <v>233</v>
      </c>
      <c r="D3" s="127" t="s">
        <v>2</v>
      </c>
      <c r="E3" s="127" t="s">
        <v>3</v>
      </c>
      <c r="F3" s="127" t="s">
        <v>242</v>
      </c>
      <c r="G3" s="127" t="s">
        <v>234</v>
      </c>
      <c r="H3" s="127" t="s">
        <v>254</v>
      </c>
      <c r="I3" s="127" t="s">
        <v>5</v>
      </c>
      <c r="J3" s="127" t="s">
        <v>4</v>
      </c>
      <c r="K3" s="127" t="s">
        <v>6</v>
      </c>
      <c r="L3" s="127" t="s">
        <v>7</v>
      </c>
      <c r="M3" s="127" t="s">
        <v>8</v>
      </c>
      <c r="N3" s="127" t="s">
        <v>9</v>
      </c>
      <c r="O3" s="127" t="s">
        <v>241</v>
      </c>
      <c r="P3" s="127" t="s">
        <v>10</v>
      </c>
      <c r="Q3" s="127" t="s">
        <v>11</v>
      </c>
      <c r="R3" s="127" t="s">
        <v>235</v>
      </c>
      <c r="S3" s="127" t="s">
        <v>253</v>
      </c>
      <c r="T3" s="127" t="s">
        <v>12</v>
      </c>
      <c r="U3" s="127" t="s">
        <v>236</v>
      </c>
      <c r="V3" s="127" t="s">
        <v>237</v>
      </c>
      <c r="W3" s="127" t="s">
        <v>240</v>
      </c>
      <c r="X3" s="127" t="s">
        <v>13</v>
      </c>
      <c r="Y3" s="127" t="s">
        <v>14</v>
      </c>
      <c r="Z3" s="127" t="s">
        <v>15</v>
      </c>
      <c r="AA3" s="127" t="s">
        <v>16</v>
      </c>
      <c r="AB3" s="127" t="s">
        <v>17</v>
      </c>
      <c r="AC3" s="126" t="s">
        <v>238</v>
      </c>
      <c r="AD3" s="126" t="s">
        <v>239</v>
      </c>
      <c r="AE3" s="126" t="s">
        <v>18</v>
      </c>
      <c r="AF3" s="127" t="s">
        <v>19</v>
      </c>
    </row>
    <row r="4" spans="1:32" x14ac:dyDescent="0.25">
      <c r="A4" s="92" t="s">
        <v>282</v>
      </c>
      <c r="B4" s="92">
        <v>19838</v>
      </c>
      <c r="C4" s="92">
        <v>58081</v>
      </c>
      <c r="D4" s="92">
        <v>109676</v>
      </c>
      <c r="E4" s="71">
        <v>400671</v>
      </c>
      <c r="F4" s="92">
        <v>119591.1</v>
      </c>
      <c r="G4" s="92">
        <v>223856</v>
      </c>
      <c r="H4" s="92">
        <v>174040</v>
      </c>
      <c r="I4" s="92">
        <v>43741.23</v>
      </c>
      <c r="J4" s="92">
        <v>12868</v>
      </c>
      <c r="K4" s="92">
        <v>129888.39</v>
      </c>
      <c r="L4" s="92">
        <v>418286</v>
      </c>
      <c r="M4" s="71">
        <v>700415</v>
      </c>
      <c r="N4" s="92">
        <v>274153</v>
      </c>
      <c r="O4" s="92">
        <v>32839</v>
      </c>
      <c r="P4" s="92">
        <v>65353.63</v>
      </c>
      <c r="Q4" s="92">
        <v>48897.66</v>
      </c>
      <c r="R4" s="92">
        <v>41128.160000000003</v>
      </c>
      <c r="S4" s="92">
        <v>87765.37</v>
      </c>
      <c r="T4" s="92">
        <v>607631.56999999995</v>
      </c>
      <c r="U4" s="92">
        <v>18912</v>
      </c>
      <c r="V4" s="92">
        <v>17345</v>
      </c>
      <c r="W4" s="92">
        <v>233882</v>
      </c>
      <c r="X4" s="92">
        <v>114764.85</v>
      </c>
      <c r="Y4" s="92">
        <v>281770</v>
      </c>
      <c r="Z4" s="92">
        <v>88471</v>
      </c>
      <c r="AA4" s="92">
        <v>529175</v>
      </c>
      <c r="AB4" s="92">
        <v>349769</v>
      </c>
      <c r="AC4" s="92">
        <v>1300847.1299999999</v>
      </c>
      <c r="AD4" s="92">
        <v>585262</v>
      </c>
      <c r="AE4" s="92">
        <v>712822</v>
      </c>
      <c r="AF4" s="92">
        <v>79346</v>
      </c>
    </row>
    <row r="5" spans="1:32" x14ac:dyDescent="0.25">
      <c r="A5" s="92" t="s">
        <v>283</v>
      </c>
      <c r="B5" s="92"/>
      <c r="C5" s="92"/>
      <c r="D5" s="92">
        <v>6000</v>
      </c>
      <c r="E5" s="92"/>
      <c r="F5" s="92">
        <v>4990.79</v>
      </c>
      <c r="G5" s="92"/>
      <c r="H5" s="92">
        <v>3</v>
      </c>
      <c r="I5" s="92">
        <v>17778</v>
      </c>
      <c r="J5" s="92"/>
      <c r="K5" s="92"/>
      <c r="L5" s="92"/>
      <c r="M5" s="92"/>
      <c r="N5" s="92"/>
      <c r="O5" s="92"/>
      <c r="P5" s="92"/>
      <c r="Q5" s="92">
        <v>18.190000000000001</v>
      </c>
      <c r="R5" s="92"/>
      <c r="S5" s="92"/>
      <c r="T5" s="92">
        <v>2079.89</v>
      </c>
      <c r="U5" s="92"/>
      <c r="V5" s="92"/>
      <c r="W5" s="92"/>
      <c r="X5" s="92"/>
      <c r="Y5" s="92"/>
      <c r="Z5" s="92"/>
      <c r="AA5" s="92"/>
      <c r="AB5" s="92"/>
      <c r="AC5" s="92"/>
      <c r="AD5" s="92">
        <v>17124</v>
      </c>
      <c r="AE5" s="92"/>
      <c r="AF5" s="92"/>
    </row>
    <row r="6" spans="1:32" x14ac:dyDescent="0.25">
      <c r="A6" s="92" t="s">
        <v>284</v>
      </c>
      <c r="B6" s="92"/>
      <c r="C6" s="92"/>
      <c r="D6" s="92"/>
      <c r="E6" s="71">
        <v>4314</v>
      </c>
      <c r="F6" s="92"/>
      <c r="G6" s="92"/>
      <c r="H6" s="92"/>
      <c r="I6" s="92"/>
      <c r="J6" s="92"/>
      <c r="K6" s="92">
        <v>849.47</v>
      </c>
      <c r="L6" s="92">
        <v>93</v>
      </c>
      <c r="M6" s="92"/>
      <c r="N6" s="92"/>
      <c r="O6" s="92"/>
      <c r="P6" s="92"/>
      <c r="Q6" s="92">
        <v>534.39</v>
      </c>
      <c r="R6" s="92"/>
      <c r="S6" s="92"/>
      <c r="T6" s="92"/>
      <c r="U6" s="92"/>
      <c r="V6" s="92"/>
      <c r="W6" s="92">
        <v>1908</v>
      </c>
      <c r="X6" s="92"/>
      <c r="Y6" s="92"/>
      <c r="Z6" s="92">
        <v>219</v>
      </c>
      <c r="AA6" s="92"/>
      <c r="AB6" s="92">
        <v>8415</v>
      </c>
      <c r="AC6" s="92"/>
      <c r="AD6" s="92"/>
      <c r="AE6" s="92">
        <v>28903</v>
      </c>
      <c r="AF6" s="92"/>
    </row>
    <row r="7" spans="1:32" x14ac:dyDescent="0.25">
      <c r="A7" s="92" t="s">
        <v>285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</row>
    <row r="8" spans="1:32" x14ac:dyDescent="0.25">
      <c r="A8" s="92" t="s">
        <v>286</v>
      </c>
      <c r="B8" s="92">
        <v>1326</v>
      </c>
      <c r="C8" s="92"/>
      <c r="D8" s="92">
        <v>4454</v>
      </c>
      <c r="E8" s="92">
        <f>108+1782+1233</f>
        <v>3123</v>
      </c>
      <c r="F8" s="92"/>
      <c r="G8" s="92">
        <v>3581</v>
      </c>
      <c r="H8" s="92"/>
      <c r="I8" s="92">
        <f>5742.89+659.76+866.23</f>
        <v>7268.880000000001</v>
      </c>
      <c r="J8" s="92">
        <f>175+70+408</f>
        <v>653</v>
      </c>
      <c r="K8" s="92">
        <v>4514.34</v>
      </c>
      <c r="L8" s="92">
        <v>645</v>
      </c>
      <c r="M8" s="92">
        <f>25+2901+5125</f>
        <v>8051</v>
      </c>
      <c r="N8" s="92">
        <v>6722</v>
      </c>
      <c r="O8" s="92">
        <v>848</v>
      </c>
      <c r="P8" s="92"/>
      <c r="Q8" s="92">
        <v>1558.51</v>
      </c>
      <c r="R8" s="92"/>
      <c r="S8" s="92">
        <v>804.32</v>
      </c>
      <c r="T8" s="92"/>
      <c r="U8" s="92">
        <v>41</v>
      </c>
      <c r="V8" s="92">
        <v>1691</v>
      </c>
      <c r="W8" s="92"/>
      <c r="X8" s="92"/>
      <c r="Y8" s="92">
        <v>4085</v>
      </c>
      <c r="Z8" s="92">
        <v>219</v>
      </c>
      <c r="AA8" s="92">
        <v>3333</v>
      </c>
      <c r="AB8" s="92">
        <v>3687</v>
      </c>
      <c r="AC8" s="92"/>
      <c r="AD8" s="92"/>
      <c r="AE8" s="92"/>
      <c r="AF8" s="92"/>
    </row>
    <row r="9" spans="1:32" x14ac:dyDescent="0.25">
      <c r="A9" s="92" t="s">
        <v>31</v>
      </c>
      <c r="B9" s="92"/>
      <c r="C9" s="92">
        <v>3015</v>
      </c>
      <c r="D9" s="92">
        <f>2660+2500+1210</f>
        <v>6370</v>
      </c>
      <c r="E9" s="92"/>
      <c r="F9" s="92">
        <v>1043.2</v>
      </c>
      <c r="G9" s="92"/>
      <c r="H9" s="92">
        <f>104+327+379</f>
        <v>810</v>
      </c>
      <c r="I9" s="92"/>
      <c r="J9" s="92">
        <v>191</v>
      </c>
      <c r="K9" s="92"/>
      <c r="L9" s="92"/>
      <c r="M9" s="92"/>
      <c r="N9" s="92"/>
      <c r="O9" s="92"/>
      <c r="P9" s="92">
        <f>2132.66+153.01+93.07</f>
        <v>2378.7400000000002</v>
      </c>
      <c r="Q9" s="92">
        <v>50.29</v>
      </c>
      <c r="R9" s="92">
        <v>931.56</v>
      </c>
      <c r="S9" s="92"/>
      <c r="T9" s="92"/>
      <c r="U9" s="92">
        <v>223</v>
      </c>
      <c r="V9" s="92"/>
      <c r="W9" s="92">
        <v>3255</v>
      </c>
      <c r="X9" s="92">
        <v>111.74</v>
      </c>
      <c r="Y9" s="92">
        <v>11074</v>
      </c>
      <c r="Z9" s="92">
        <v>1499</v>
      </c>
      <c r="AA9" s="92"/>
      <c r="AB9" s="92"/>
      <c r="AC9" s="92">
        <v>177466.13</v>
      </c>
      <c r="AD9" s="92">
        <f>77888+58930+1343+1224</f>
        <v>139385</v>
      </c>
      <c r="AE9" s="92">
        <f>10173+84919</f>
        <v>95092</v>
      </c>
      <c r="AF9" s="92">
        <v>236</v>
      </c>
    </row>
    <row r="10" spans="1:32" s="7" customFormat="1" x14ac:dyDescent="0.25">
      <c r="A10" s="10" t="s">
        <v>40</v>
      </c>
      <c r="B10" s="10">
        <v>21164</v>
      </c>
      <c r="C10" s="10">
        <f>C4+C9</f>
        <v>61096</v>
      </c>
      <c r="D10" s="10">
        <f>D4+D5+D8+D9</f>
        <v>126500</v>
      </c>
      <c r="E10" s="10">
        <v>408109</v>
      </c>
      <c r="F10" s="10">
        <v>125625.09</v>
      </c>
      <c r="G10" s="10">
        <f>G4+G8</f>
        <v>227437</v>
      </c>
      <c r="H10" s="10">
        <f>H4+H5+H9</f>
        <v>174853</v>
      </c>
      <c r="I10" s="10">
        <v>79785.820000000007</v>
      </c>
      <c r="J10" s="10">
        <v>13711</v>
      </c>
      <c r="K10" s="10">
        <v>135252.20000000001</v>
      </c>
      <c r="L10" s="10">
        <v>419025</v>
      </c>
      <c r="M10" s="10">
        <v>708466</v>
      </c>
      <c r="N10" s="10">
        <v>280875</v>
      </c>
      <c r="O10" s="10">
        <v>33687</v>
      </c>
      <c r="P10" s="10">
        <v>67732.37</v>
      </c>
      <c r="Q10" s="10">
        <v>51059.040000000001</v>
      </c>
      <c r="R10" s="10">
        <v>42059.72</v>
      </c>
      <c r="S10" s="10">
        <v>88569.69</v>
      </c>
      <c r="T10" s="10">
        <v>691938.02</v>
      </c>
      <c r="U10" s="10">
        <v>19177</v>
      </c>
      <c r="V10" s="10">
        <v>19036</v>
      </c>
      <c r="W10" s="10">
        <v>239045</v>
      </c>
      <c r="X10" s="10">
        <v>114876.59</v>
      </c>
      <c r="Y10" s="10">
        <v>296929</v>
      </c>
      <c r="Z10" s="10">
        <v>90409</v>
      </c>
      <c r="AA10" s="10">
        <v>532508</v>
      </c>
      <c r="AB10" s="10">
        <v>361871</v>
      </c>
      <c r="AC10" s="10">
        <v>1478313.26</v>
      </c>
      <c r="AD10" s="10">
        <v>741771</v>
      </c>
      <c r="AE10" s="10">
        <v>836817</v>
      </c>
      <c r="AF10" s="10">
        <v>79582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" sqref="B1"/>
    </sheetView>
  </sheetViews>
  <sheetFormatPr defaultRowHeight="15" x14ac:dyDescent="0.25"/>
  <cols>
    <col min="1" max="1" width="39.28515625" customWidth="1"/>
    <col min="2" max="35" width="16" customWidth="1"/>
    <col min="36" max="37" width="16" style="118" customWidth="1"/>
    <col min="38" max="63" width="16" customWidth="1"/>
  </cols>
  <sheetData>
    <row r="1" spans="1:63" ht="18.75" x14ac:dyDescent="0.3">
      <c r="A1" s="15" t="s">
        <v>256</v>
      </c>
    </row>
    <row r="2" spans="1:63" x14ac:dyDescent="0.25">
      <c r="A2" s="1" t="s">
        <v>0</v>
      </c>
      <c r="B2" s="147" t="s">
        <v>1</v>
      </c>
      <c r="C2" s="148"/>
      <c r="D2" s="147" t="s">
        <v>233</v>
      </c>
      <c r="E2" s="148"/>
      <c r="F2" s="147" t="s">
        <v>2</v>
      </c>
      <c r="G2" s="148"/>
      <c r="H2" s="147" t="s">
        <v>3</v>
      </c>
      <c r="I2" s="148"/>
      <c r="J2" s="147" t="s">
        <v>242</v>
      </c>
      <c r="K2" s="148"/>
      <c r="L2" s="147" t="s">
        <v>234</v>
      </c>
      <c r="M2" s="148"/>
      <c r="N2" s="147" t="s">
        <v>5</v>
      </c>
      <c r="O2" s="148"/>
      <c r="P2" s="147" t="s">
        <v>4</v>
      </c>
      <c r="Q2" s="148"/>
      <c r="R2" s="147" t="s">
        <v>6</v>
      </c>
      <c r="S2" s="148"/>
      <c r="T2" s="147" t="s">
        <v>254</v>
      </c>
      <c r="U2" s="148"/>
      <c r="V2" s="147" t="s">
        <v>7</v>
      </c>
      <c r="W2" s="148"/>
      <c r="X2" s="147" t="s">
        <v>8</v>
      </c>
      <c r="Y2" s="148"/>
      <c r="Z2" s="147" t="s">
        <v>9</v>
      </c>
      <c r="AA2" s="148"/>
      <c r="AB2" s="147" t="s">
        <v>241</v>
      </c>
      <c r="AC2" s="148"/>
      <c r="AD2" s="147" t="s">
        <v>10</v>
      </c>
      <c r="AE2" s="148"/>
      <c r="AF2" s="147" t="s">
        <v>11</v>
      </c>
      <c r="AG2" s="148"/>
      <c r="AH2" s="147" t="s">
        <v>235</v>
      </c>
      <c r="AI2" s="148"/>
      <c r="AJ2" s="147" t="s">
        <v>253</v>
      </c>
      <c r="AK2" s="148"/>
      <c r="AL2" s="147" t="s">
        <v>12</v>
      </c>
      <c r="AM2" s="148"/>
      <c r="AN2" s="147" t="s">
        <v>236</v>
      </c>
      <c r="AO2" s="148"/>
      <c r="AP2" s="154" t="s">
        <v>237</v>
      </c>
      <c r="AQ2" s="156"/>
      <c r="AR2" s="147" t="s">
        <v>240</v>
      </c>
      <c r="AS2" s="148"/>
      <c r="AT2" s="147" t="s">
        <v>13</v>
      </c>
      <c r="AU2" s="148"/>
      <c r="AV2" s="147" t="s">
        <v>14</v>
      </c>
      <c r="AW2" s="148"/>
      <c r="AX2" s="147" t="s">
        <v>15</v>
      </c>
      <c r="AY2" s="148"/>
      <c r="AZ2" s="147" t="s">
        <v>16</v>
      </c>
      <c r="BA2" s="148"/>
      <c r="BB2" s="147" t="s">
        <v>17</v>
      </c>
      <c r="BC2" s="148"/>
      <c r="BD2" s="147" t="s">
        <v>238</v>
      </c>
      <c r="BE2" s="148"/>
      <c r="BF2" s="147" t="s">
        <v>239</v>
      </c>
      <c r="BG2" s="148"/>
      <c r="BH2" s="147" t="s">
        <v>18</v>
      </c>
      <c r="BI2" s="148"/>
      <c r="BJ2" s="147" t="s">
        <v>19</v>
      </c>
      <c r="BK2" s="148"/>
    </row>
    <row r="3" spans="1:63" ht="30" x14ac:dyDescent="0.25">
      <c r="A3" s="1"/>
      <c r="B3" s="53" t="s">
        <v>243</v>
      </c>
      <c r="C3" s="54" t="s">
        <v>244</v>
      </c>
      <c r="D3" s="53" t="s">
        <v>243</v>
      </c>
      <c r="E3" s="54" t="s">
        <v>244</v>
      </c>
      <c r="F3" s="53" t="s">
        <v>243</v>
      </c>
      <c r="G3" s="54" t="s">
        <v>244</v>
      </c>
      <c r="H3" s="53" t="s">
        <v>243</v>
      </c>
      <c r="I3" s="54" t="s">
        <v>244</v>
      </c>
      <c r="J3" s="53" t="s">
        <v>243</v>
      </c>
      <c r="K3" s="54" t="s">
        <v>244</v>
      </c>
      <c r="L3" s="53" t="s">
        <v>243</v>
      </c>
      <c r="M3" s="54" t="s">
        <v>244</v>
      </c>
      <c r="N3" s="53" t="s">
        <v>243</v>
      </c>
      <c r="O3" s="54" t="s">
        <v>244</v>
      </c>
      <c r="P3" s="53" t="s">
        <v>243</v>
      </c>
      <c r="Q3" s="54" t="s">
        <v>244</v>
      </c>
      <c r="R3" s="53" t="s">
        <v>243</v>
      </c>
      <c r="S3" s="54" t="s">
        <v>244</v>
      </c>
      <c r="T3" s="53" t="s">
        <v>243</v>
      </c>
      <c r="U3" s="54" t="s">
        <v>244</v>
      </c>
      <c r="V3" s="53" t="s">
        <v>243</v>
      </c>
      <c r="W3" s="54" t="s">
        <v>244</v>
      </c>
      <c r="X3" s="53" t="s">
        <v>243</v>
      </c>
      <c r="Y3" s="54" t="s">
        <v>244</v>
      </c>
      <c r="Z3" s="53" t="s">
        <v>243</v>
      </c>
      <c r="AA3" s="54" t="s">
        <v>244</v>
      </c>
      <c r="AB3" s="53" t="s">
        <v>243</v>
      </c>
      <c r="AC3" s="54" t="s">
        <v>244</v>
      </c>
      <c r="AD3" s="53" t="s">
        <v>243</v>
      </c>
      <c r="AE3" s="54" t="s">
        <v>244</v>
      </c>
      <c r="AF3" s="53" t="s">
        <v>243</v>
      </c>
      <c r="AG3" s="54" t="s">
        <v>244</v>
      </c>
      <c r="AH3" s="53" t="s">
        <v>243</v>
      </c>
      <c r="AI3" s="54" t="s">
        <v>244</v>
      </c>
      <c r="AJ3" s="119" t="s">
        <v>243</v>
      </c>
      <c r="AK3" s="120" t="s">
        <v>244</v>
      </c>
      <c r="AL3" s="53" t="s">
        <v>243</v>
      </c>
      <c r="AM3" s="54" t="s">
        <v>244</v>
      </c>
      <c r="AN3" s="53" t="s">
        <v>243</v>
      </c>
      <c r="AO3" s="54" t="s">
        <v>244</v>
      </c>
      <c r="AP3" s="53" t="s">
        <v>243</v>
      </c>
      <c r="AQ3" s="54" t="s">
        <v>244</v>
      </c>
      <c r="AR3" s="53" t="s">
        <v>243</v>
      </c>
      <c r="AS3" s="54" t="s">
        <v>244</v>
      </c>
      <c r="AT3" s="53" t="s">
        <v>243</v>
      </c>
      <c r="AU3" s="54" t="s">
        <v>244</v>
      </c>
      <c r="AV3" s="53" t="s">
        <v>243</v>
      </c>
      <c r="AW3" s="54" t="s">
        <v>244</v>
      </c>
      <c r="AX3" s="53" t="s">
        <v>243</v>
      </c>
      <c r="AY3" s="54" t="s">
        <v>244</v>
      </c>
      <c r="AZ3" s="53" t="s">
        <v>243</v>
      </c>
      <c r="BA3" s="54" t="s">
        <v>244</v>
      </c>
      <c r="BB3" s="53" t="s">
        <v>243</v>
      </c>
      <c r="BC3" s="54" t="s">
        <v>244</v>
      </c>
      <c r="BD3" s="53" t="s">
        <v>243</v>
      </c>
      <c r="BE3" s="54" t="s">
        <v>244</v>
      </c>
      <c r="BF3" s="53" t="s">
        <v>243</v>
      </c>
      <c r="BG3" s="54" t="s">
        <v>244</v>
      </c>
      <c r="BH3" s="53" t="s">
        <v>243</v>
      </c>
      <c r="BI3" s="54" t="s">
        <v>244</v>
      </c>
      <c r="BJ3" s="53" t="s">
        <v>243</v>
      </c>
      <c r="BK3" s="54" t="s">
        <v>244</v>
      </c>
    </row>
    <row r="4" spans="1:63" x14ac:dyDescent="0.25">
      <c r="A4" s="11" t="s">
        <v>123</v>
      </c>
      <c r="B4" s="34">
        <v>1.6173999999999999</v>
      </c>
      <c r="C4" s="34">
        <v>1.772</v>
      </c>
      <c r="D4" s="61">
        <v>0.3</v>
      </c>
      <c r="E4" s="61">
        <v>0.39</v>
      </c>
      <c r="F4" s="34">
        <v>0.12540000000000001</v>
      </c>
      <c r="G4" s="34">
        <v>0.1027</v>
      </c>
      <c r="H4" s="34">
        <v>0.20979999999999999</v>
      </c>
      <c r="I4" s="35">
        <v>0.1676</v>
      </c>
      <c r="J4" s="91">
        <v>0.42</v>
      </c>
      <c r="K4" s="91">
        <v>0.47</v>
      </c>
      <c r="L4" s="34">
        <v>0.1196</v>
      </c>
      <c r="M4" s="34">
        <v>8.7800000000000003E-2</v>
      </c>
      <c r="N4" s="34">
        <v>-4.9399999999999999E-2</v>
      </c>
      <c r="O4" s="34">
        <v>0.02</v>
      </c>
      <c r="P4" s="33">
        <v>0.62</v>
      </c>
      <c r="Q4" s="33">
        <v>0.64</v>
      </c>
      <c r="R4" s="33">
        <v>0.21</v>
      </c>
      <c r="S4" s="33">
        <v>0.14000000000000001</v>
      </c>
      <c r="T4" s="34">
        <v>0.75060000000000004</v>
      </c>
      <c r="U4" s="34">
        <v>0.82940000000000003</v>
      </c>
      <c r="V4" s="35">
        <v>5.2499999999999998E-2</v>
      </c>
      <c r="W4" s="34">
        <v>0.1028</v>
      </c>
      <c r="X4" s="33">
        <v>0.39</v>
      </c>
      <c r="Y4" s="33">
        <v>0.33</v>
      </c>
      <c r="Z4" s="34">
        <v>1.5699999999999999E-2</v>
      </c>
      <c r="AA4" s="34">
        <v>3.2500000000000001E-2</v>
      </c>
      <c r="AB4" s="33">
        <v>0.17</v>
      </c>
      <c r="AC4" s="33">
        <v>0.19</v>
      </c>
      <c r="AD4" s="34"/>
      <c r="AE4" s="35"/>
      <c r="AF4" s="34">
        <v>0.312</v>
      </c>
      <c r="AG4" s="34">
        <v>0.34300000000000003</v>
      </c>
      <c r="AH4" s="33">
        <v>0.24</v>
      </c>
      <c r="AI4" s="33">
        <v>0.34</v>
      </c>
      <c r="AJ4" s="86">
        <v>0.61</v>
      </c>
      <c r="AK4" s="122">
        <v>0.74</v>
      </c>
      <c r="AL4" s="34">
        <v>-0.1268</v>
      </c>
      <c r="AM4" s="34">
        <v>-2.23E-2</v>
      </c>
      <c r="AN4" s="86">
        <v>0.03</v>
      </c>
      <c r="AO4" s="86" t="s">
        <v>324</v>
      </c>
      <c r="AP4" s="35">
        <v>0.81930000000000003</v>
      </c>
      <c r="AQ4" s="35">
        <v>1.0572999999999999</v>
      </c>
      <c r="AR4" s="61">
        <v>0.14000000000000001</v>
      </c>
      <c r="AS4" s="35">
        <v>0.12709999999999999</v>
      </c>
      <c r="AT4" s="35">
        <v>0.154</v>
      </c>
      <c r="AU4" s="35">
        <v>0.109</v>
      </c>
      <c r="AV4" s="34">
        <v>0.2278</v>
      </c>
      <c r="AW4" s="34">
        <v>0.14069999999999999</v>
      </c>
      <c r="AX4" s="34">
        <v>-0.20910000000000001</v>
      </c>
      <c r="AY4" s="34">
        <v>-0.2263</v>
      </c>
      <c r="AZ4" s="34">
        <v>0.19339999999999999</v>
      </c>
      <c r="BA4" s="34">
        <v>0.28160000000000002</v>
      </c>
      <c r="BB4" s="33">
        <v>0.16</v>
      </c>
      <c r="BC4" s="33">
        <v>0.15</v>
      </c>
      <c r="BD4" s="91">
        <v>18.22</v>
      </c>
      <c r="BE4" s="91">
        <v>18.690000000000001</v>
      </c>
      <c r="BF4" s="91">
        <v>14.52</v>
      </c>
      <c r="BG4" s="91">
        <v>13.46</v>
      </c>
      <c r="BH4" s="34">
        <v>2.1399999999999999E-2</v>
      </c>
      <c r="BI4" s="34">
        <v>-2.7199999999999998E-2</v>
      </c>
      <c r="BJ4" s="34">
        <v>0.14369999999999999</v>
      </c>
      <c r="BK4" s="34">
        <v>0.1598</v>
      </c>
    </row>
    <row r="5" spans="1:63" ht="15" customHeight="1" x14ac:dyDescent="0.25">
      <c r="A5" s="11" t="s">
        <v>124</v>
      </c>
      <c r="B5" s="30">
        <v>1.2</v>
      </c>
      <c r="C5" s="30">
        <v>2.0299999999999998</v>
      </c>
      <c r="D5" s="61">
        <v>0.88</v>
      </c>
      <c r="E5" s="61">
        <v>1.69</v>
      </c>
      <c r="F5" s="36">
        <v>1.58</v>
      </c>
      <c r="G5" s="36">
        <v>1.62</v>
      </c>
      <c r="H5" s="30">
        <v>0.63</v>
      </c>
      <c r="I5" s="30">
        <v>0.94</v>
      </c>
      <c r="J5" s="91">
        <v>0.91</v>
      </c>
      <c r="K5" s="91">
        <v>1.64</v>
      </c>
      <c r="L5" s="91">
        <v>0.63</v>
      </c>
      <c r="M5" s="91">
        <v>1.1000000000000001</v>
      </c>
      <c r="N5" s="91">
        <v>7.0000000000000007E-2</v>
      </c>
      <c r="O5" s="91">
        <v>7.0000000000000007E-2</v>
      </c>
      <c r="P5" s="30">
        <v>0.78</v>
      </c>
      <c r="Q5" s="30">
        <v>1.29</v>
      </c>
      <c r="R5" s="30">
        <v>0.96</v>
      </c>
      <c r="S5" s="30">
        <v>1.56</v>
      </c>
      <c r="T5" s="30">
        <v>0.83</v>
      </c>
      <c r="U5" s="30">
        <v>1.49</v>
      </c>
      <c r="V5" s="91">
        <v>2.11</v>
      </c>
      <c r="W5" s="91">
        <v>2.11</v>
      </c>
      <c r="X5" s="30">
        <v>0.51</v>
      </c>
      <c r="Y5" s="30">
        <v>1</v>
      </c>
      <c r="Z5" s="34"/>
      <c r="AA5" s="91">
        <v>1.56</v>
      </c>
      <c r="AB5" s="30">
        <v>0.54</v>
      </c>
      <c r="AC5" s="30">
        <v>0.94</v>
      </c>
      <c r="AD5" s="30"/>
      <c r="AE5" s="30"/>
      <c r="AF5" s="91">
        <v>0.88</v>
      </c>
      <c r="AG5" s="91">
        <v>1.55</v>
      </c>
      <c r="AH5" s="86">
        <v>1.1399999999999999</v>
      </c>
      <c r="AI5" s="86">
        <v>2.1800000000000002</v>
      </c>
      <c r="AJ5" s="86">
        <v>1.1100000000000001</v>
      </c>
      <c r="AK5" s="86">
        <v>2.09</v>
      </c>
      <c r="AL5" s="30">
        <v>99.49</v>
      </c>
      <c r="AM5" s="30">
        <v>99.49</v>
      </c>
      <c r="AN5" s="121">
        <v>0.12</v>
      </c>
      <c r="AO5" s="121">
        <v>0.15</v>
      </c>
      <c r="AP5" s="91">
        <v>0.47</v>
      </c>
      <c r="AQ5" s="91">
        <v>0.89</v>
      </c>
      <c r="AR5" s="30">
        <v>1.37</v>
      </c>
      <c r="AS5" s="30">
        <v>2.2999999999999998</v>
      </c>
      <c r="AT5" s="30"/>
      <c r="AU5" s="30"/>
      <c r="AV5" s="30">
        <v>1.03</v>
      </c>
      <c r="AW5" s="30">
        <v>1.44</v>
      </c>
      <c r="AX5" s="34">
        <v>0.1983</v>
      </c>
      <c r="AY5" s="34">
        <v>0.35470000000000002</v>
      </c>
      <c r="AZ5" s="30">
        <v>0.9</v>
      </c>
      <c r="BA5" s="30">
        <v>1.58</v>
      </c>
      <c r="BB5" s="30">
        <v>0.7</v>
      </c>
      <c r="BC5" s="30">
        <v>1.33</v>
      </c>
      <c r="BD5" s="91">
        <v>0.48</v>
      </c>
      <c r="BE5" s="91">
        <v>1</v>
      </c>
      <c r="BF5" s="30">
        <v>4.0199999999999996</v>
      </c>
      <c r="BG5" s="30">
        <v>7.17</v>
      </c>
      <c r="BH5" s="30">
        <v>1.21</v>
      </c>
      <c r="BI5" s="30">
        <v>2.38</v>
      </c>
      <c r="BJ5" s="34">
        <v>1.0039</v>
      </c>
      <c r="BK5" s="34">
        <v>1.4478</v>
      </c>
    </row>
    <row r="6" spans="1:63" x14ac:dyDescent="0.25">
      <c r="A6" s="11" t="s">
        <v>125</v>
      </c>
      <c r="B6" s="33">
        <v>0.1358</v>
      </c>
      <c r="C6" s="33">
        <v>0.1358</v>
      </c>
      <c r="D6" s="61">
        <v>0.13</v>
      </c>
      <c r="E6" s="61">
        <v>0.13</v>
      </c>
      <c r="F6" s="35">
        <v>0.1787</v>
      </c>
      <c r="G6" s="35">
        <v>0.1787</v>
      </c>
      <c r="H6" s="34">
        <v>0.18590000000000001</v>
      </c>
      <c r="I6" s="34">
        <v>0.18590000000000001</v>
      </c>
      <c r="J6" s="91">
        <v>0.08</v>
      </c>
      <c r="K6" s="91">
        <v>0.08</v>
      </c>
      <c r="L6" s="34">
        <v>6.9900000000000004E-2</v>
      </c>
      <c r="M6" s="34">
        <v>6.9900000000000004E-2</v>
      </c>
      <c r="N6" s="34">
        <v>0.20399999999999999</v>
      </c>
      <c r="O6" s="34">
        <v>0.20399999999999999</v>
      </c>
      <c r="P6" s="33">
        <v>0.06</v>
      </c>
      <c r="Q6" s="33">
        <v>0.06</v>
      </c>
      <c r="R6" s="33">
        <v>0.12</v>
      </c>
      <c r="S6" s="33">
        <v>0.12</v>
      </c>
      <c r="T6" s="34">
        <v>3.1800000000000002E-2</v>
      </c>
      <c r="U6" s="34">
        <v>3.1800000000000002E-2</v>
      </c>
      <c r="V6" s="34">
        <v>5.21E-2</v>
      </c>
      <c r="W6" s="34">
        <v>5.21E-2</v>
      </c>
      <c r="X6" s="33">
        <v>0.16</v>
      </c>
      <c r="Y6" s="33">
        <v>0.16</v>
      </c>
      <c r="Z6" s="34"/>
      <c r="AA6" s="34">
        <v>2.1700000000000001E-2</v>
      </c>
      <c r="AB6" s="33">
        <v>0.6</v>
      </c>
      <c r="AC6" s="61">
        <v>0.6</v>
      </c>
      <c r="AD6" s="33"/>
      <c r="AE6" s="33"/>
      <c r="AF6" s="34">
        <v>4.4999999999999998E-2</v>
      </c>
      <c r="AG6" s="34">
        <v>4.4999999999999998E-2</v>
      </c>
      <c r="AH6" s="33">
        <v>-0.4</v>
      </c>
      <c r="AI6" s="33">
        <v>-0.4</v>
      </c>
      <c r="AJ6" s="122">
        <v>0.49</v>
      </c>
      <c r="AK6" s="122">
        <v>0.49</v>
      </c>
      <c r="AL6" s="34">
        <v>-0.44030000000000002</v>
      </c>
      <c r="AM6" s="34">
        <v>-0.44030000000000002</v>
      </c>
      <c r="AN6" s="86" t="s">
        <v>319</v>
      </c>
      <c r="AO6" s="86" t="s">
        <v>325</v>
      </c>
      <c r="AP6" s="35">
        <v>-4.6699999999999998E-2</v>
      </c>
      <c r="AQ6" s="35">
        <v>-4.6699999999999998E-2</v>
      </c>
      <c r="AR6" s="61">
        <v>0.51</v>
      </c>
      <c r="AS6" s="61">
        <v>7.0000000000000007E-2</v>
      </c>
      <c r="AT6" s="61"/>
      <c r="AU6" s="61"/>
      <c r="AV6" s="34">
        <v>0.1396</v>
      </c>
      <c r="AW6" s="34">
        <v>0.1396</v>
      </c>
      <c r="AX6" s="34">
        <v>0.1139</v>
      </c>
      <c r="AY6" s="34">
        <v>0.1139</v>
      </c>
      <c r="AZ6" s="34">
        <v>0.5978</v>
      </c>
      <c r="BA6" s="34">
        <v>0.5978</v>
      </c>
      <c r="BB6" s="33">
        <v>0.02</v>
      </c>
      <c r="BC6" s="33">
        <v>0.1</v>
      </c>
      <c r="BD6" s="34"/>
      <c r="BE6" s="34"/>
      <c r="BF6" s="30">
        <v>-6.22</v>
      </c>
      <c r="BG6" s="30">
        <v>-6.22</v>
      </c>
      <c r="BH6" s="34">
        <v>-0.50560000000000005</v>
      </c>
      <c r="BI6" s="34">
        <v>0.14660000000000001</v>
      </c>
      <c r="BJ6" s="34">
        <v>-1.7600000000000001E-2</v>
      </c>
      <c r="BK6" s="34">
        <v>-1.7600000000000001E-2</v>
      </c>
    </row>
    <row r="7" spans="1:63" x14ac:dyDescent="0.25">
      <c r="A7" s="11" t="s">
        <v>126</v>
      </c>
      <c r="B7" s="34">
        <v>0.60909999999999997</v>
      </c>
      <c r="C7" s="34">
        <v>0.61829999999999996</v>
      </c>
      <c r="D7" s="61">
        <v>0.78</v>
      </c>
      <c r="E7" s="33">
        <v>0.77</v>
      </c>
      <c r="F7" s="34">
        <v>0.4803</v>
      </c>
      <c r="G7" s="34">
        <v>0.47760000000000002</v>
      </c>
      <c r="H7" s="34">
        <v>0.4304</v>
      </c>
      <c r="I7" s="34">
        <v>0.49170000000000003</v>
      </c>
      <c r="J7" s="91">
        <v>0.8</v>
      </c>
      <c r="K7" s="91">
        <v>0.8</v>
      </c>
      <c r="L7" s="34">
        <v>0.74239999999999995</v>
      </c>
      <c r="M7" s="34">
        <v>0.73560000000000003</v>
      </c>
      <c r="N7" s="34">
        <v>0.82189999999999996</v>
      </c>
      <c r="O7" s="34">
        <v>0.78759999999999997</v>
      </c>
      <c r="P7" s="33">
        <v>0.86</v>
      </c>
      <c r="Q7" s="33">
        <v>0.83</v>
      </c>
      <c r="R7" s="33">
        <v>0.57999999999999996</v>
      </c>
      <c r="S7" s="33">
        <v>0.63</v>
      </c>
      <c r="T7" s="34">
        <v>0.81079999999999997</v>
      </c>
      <c r="U7" s="35">
        <v>0.77329999999999999</v>
      </c>
      <c r="V7" s="34">
        <v>0.45269999999999999</v>
      </c>
      <c r="W7" s="34">
        <v>0.4854</v>
      </c>
      <c r="X7" s="33">
        <v>0.68</v>
      </c>
      <c r="Y7" s="33">
        <v>0.67</v>
      </c>
      <c r="Z7" s="34">
        <v>0.62539999999999996</v>
      </c>
      <c r="AA7" s="34">
        <v>0.64929999999999999</v>
      </c>
      <c r="AB7" s="33">
        <v>0.78</v>
      </c>
      <c r="AC7" s="33">
        <v>0.77</v>
      </c>
      <c r="AD7" s="72"/>
      <c r="AE7" s="72"/>
      <c r="AF7" s="34">
        <v>0.67300000000000004</v>
      </c>
      <c r="AG7" s="34">
        <v>0.622</v>
      </c>
      <c r="AH7" s="33">
        <v>0.95</v>
      </c>
      <c r="AI7" s="33">
        <v>0.95</v>
      </c>
      <c r="AJ7" s="122">
        <v>0.77</v>
      </c>
      <c r="AK7" s="122">
        <v>0.77</v>
      </c>
      <c r="AL7" s="34">
        <v>0.90480000000000005</v>
      </c>
      <c r="AM7" s="34">
        <v>0.89539999999999997</v>
      </c>
      <c r="AN7" s="86">
        <v>0.86</v>
      </c>
      <c r="AO7" s="86">
        <v>0.85</v>
      </c>
      <c r="AP7" s="35">
        <v>0.82809999999999995</v>
      </c>
      <c r="AQ7" s="35">
        <v>0.81130000000000002</v>
      </c>
      <c r="AR7" s="61">
        <v>0.57999999999999996</v>
      </c>
      <c r="AS7" s="61">
        <v>0.56000000000000005</v>
      </c>
      <c r="AT7" s="35">
        <v>0.74</v>
      </c>
      <c r="AU7" s="35">
        <v>0.69799999999999995</v>
      </c>
      <c r="AV7" s="34">
        <v>0.42320000000000002</v>
      </c>
      <c r="AW7" s="34">
        <v>0.46429999999999999</v>
      </c>
      <c r="AX7" s="34">
        <v>0.91459999999999997</v>
      </c>
      <c r="AY7" s="34">
        <v>0.91469999999999996</v>
      </c>
      <c r="AZ7" s="34">
        <v>0.94610000000000005</v>
      </c>
      <c r="BA7" s="34">
        <v>0.94259999999999999</v>
      </c>
      <c r="BB7" s="33">
        <v>0.71</v>
      </c>
      <c r="BC7" s="33">
        <v>0.67</v>
      </c>
      <c r="BD7" s="91">
        <v>80.319999999999993</v>
      </c>
      <c r="BE7" s="91">
        <v>78.489999999999995</v>
      </c>
      <c r="BF7" s="30">
        <v>86.53</v>
      </c>
      <c r="BG7" s="30">
        <v>83.36</v>
      </c>
      <c r="BH7" s="34">
        <v>0.82640000000000002</v>
      </c>
      <c r="BI7" s="34">
        <v>0.81810000000000005</v>
      </c>
      <c r="BJ7" s="34">
        <v>0.2848</v>
      </c>
      <c r="BK7" s="34">
        <v>0.3886</v>
      </c>
    </row>
    <row r="8" spans="1:63" x14ac:dyDescent="0.25">
      <c r="A8" s="11" t="s">
        <v>127</v>
      </c>
      <c r="B8" s="34">
        <v>-4.3099999999999999E-2</v>
      </c>
      <c r="C8" s="34">
        <v>-3.5400000000000001E-2</v>
      </c>
      <c r="D8" s="61">
        <v>0.06</v>
      </c>
      <c r="E8" s="33">
        <v>0.03</v>
      </c>
      <c r="F8" s="34">
        <v>-3.9E-2</v>
      </c>
      <c r="G8" s="34">
        <v>-3.78E-2</v>
      </c>
      <c r="H8" s="34">
        <v>-4.1099999999999998E-2</v>
      </c>
      <c r="I8" s="34">
        <v>-3.7499999999999999E-2</v>
      </c>
      <c r="J8" s="91">
        <v>0.02</v>
      </c>
      <c r="K8" s="91">
        <v>0.02</v>
      </c>
      <c r="L8" s="34">
        <v>6.3E-2</v>
      </c>
      <c r="M8" s="34">
        <v>4.2099999999999999E-2</v>
      </c>
      <c r="N8" s="34">
        <v>-2.3900000000000001E-2</v>
      </c>
      <c r="O8" s="34">
        <v>-2.7E-2</v>
      </c>
      <c r="P8" s="33">
        <v>0.04</v>
      </c>
      <c r="Q8" s="33">
        <v>0.05</v>
      </c>
      <c r="R8" s="33">
        <v>0.03</v>
      </c>
      <c r="S8" s="33">
        <v>0.02</v>
      </c>
      <c r="T8" s="34">
        <v>4.58E-2</v>
      </c>
      <c r="U8" s="35">
        <v>3.9399999999999998E-2</v>
      </c>
      <c r="V8" s="34">
        <v>-6.4000000000000001E-2</v>
      </c>
      <c r="W8" s="34">
        <v>-5.4399999999999997E-2</v>
      </c>
      <c r="X8" s="33">
        <v>0.05</v>
      </c>
      <c r="Y8" s="33">
        <v>0.05</v>
      </c>
      <c r="Z8" s="34">
        <v>4.7399999999999998E-2</v>
      </c>
      <c r="AA8" s="34">
        <v>5.5800000000000002E-2</v>
      </c>
      <c r="AB8" s="33">
        <v>0.03</v>
      </c>
      <c r="AC8" s="33">
        <v>0.03</v>
      </c>
      <c r="AD8" s="72"/>
      <c r="AE8" s="72"/>
      <c r="AF8" s="34">
        <v>-4.0000000000000001E-3</v>
      </c>
      <c r="AG8" s="34">
        <v>-2.9000000000000001E-2</v>
      </c>
      <c r="AH8" s="33">
        <v>0.11</v>
      </c>
      <c r="AI8" s="33">
        <v>0.11</v>
      </c>
      <c r="AJ8" s="122">
        <v>0.02</v>
      </c>
      <c r="AK8" s="122">
        <v>0.03</v>
      </c>
      <c r="AL8" s="34">
        <v>5.8299999999999998E-2</v>
      </c>
      <c r="AM8" s="34">
        <v>6.1400000000000003E-2</v>
      </c>
      <c r="AN8" s="86">
        <v>0.06</v>
      </c>
      <c r="AO8" s="86" t="s">
        <v>326</v>
      </c>
      <c r="AP8" s="35">
        <v>0.12529999999999999</v>
      </c>
      <c r="AQ8" s="35">
        <v>0.13220000000000001</v>
      </c>
      <c r="AR8" s="61">
        <v>-0.01</v>
      </c>
      <c r="AS8" s="61">
        <v>-0.01</v>
      </c>
      <c r="AT8" s="35">
        <v>7.4999999999999997E-2</v>
      </c>
      <c r="AU8" s="35">
        <v>5.8000000000000003E-2</v>
      </c>
      <c r="AV8" s="34">
        <v>-9.2899999999999996E-2</v>
      </c>
      <c r="AW8" s="34">
        <v>-4.2900000000000001E-2</v>
      </c>
      <c r="AX8" s="34">
        <v>5.5100000000000003E-2</v>
      </c>
      <c r="AY8" s="34">
        <v>5.5399999999999998E-2</v>
      </c>
      <c r="AZ8" s="34">
        <v>0.1318</v>
      </c>
      <c r="BA8" s="34">
        <v>0.13100000000000001</v>
      </c>
      <c r="BB8" s="33">
        <v>0.05</v>
      </c>
      <c r="BC8" s="33">
        <v>0.04</v>
      </c>
      <c r="BD8" s="91">
        <v>7.23</v>
      </c>
      <c r="BE8" s="91">
        <v>6.96</v>
      </c>
      <c r="BF8" s="30">
        <v>6.63</v>
      </c>
      <c r="BG8" s="30">
        <v>6.59</v>
      </c>
      <c r="BH8" s="34">
        <v>6.8000000000000005E-2</v>
      </c>
      <c r="BI8" s="34">
        <v>6.4699999999999994E-2</v>
      </c>
      <c r="BJ8" s="34">
        <v>-5.04E-2</v>
      </c>
      <c r="BK8" s="34">
        <v>2.4500000000000001E-2</v>
      </c>
    </row>
    <row r="9" spans="1:63" ht="30" x14ac:dyDescent="0.25">
      <c r="A9" s="11" t="s">
        <v>128</v>
      </c>
      <c r="B9" s="34">
        <v>0.49940000000000001</v>
      </c>
      <c r="C9" s="34">
        <v>0.57030000000000003</v>
      </c>
      <c r="D9" s="61">
        <v>0.57999999999999996</v>
      </c>
      <c r="E9" s="33">
        <v>0.55000000000000004</v>
      </c>
      <c r="F9" s="34">
        <v>1.78E-2</v>
      </c>
      <c r="G9" s="34">
        <v>2.75E-2</v>
      </c>
      <c r="H9" s="34">
        <v>0.14849999999999999</v>
      </c>
      <c r="I9" s="34">
        <v>0.18809999999999999</v>
      </c>
      <c r="J9" s="91">
        <v>0.39</v>
      </c>
      <c r="K9" s="91">
        <v>0.4</v>
      </c>
      <c r="L9" s="34">
        <v>0.37319999999999998</v>
      </c>
      <c r="M9" s="34">
        <v>0.38129999999999997</v>
      </c>
      <c r="N9" s="34">
        <v>0.25580000000000003</v>
      </c>
      <c r="O9" s="34">
        <v>0.27600000000000002</v>
      </c>
      <c r="P9" s="33">
        <v>0.39</v>
      </c>
      <c r="Q9" s="33">
        <v>0.47</v>
      </c>
      <c r="R9" s="33">
        <v>0.28999999999999998</v>
      </c>
      <c r="S9" s="33">
        <v>0.32</v>
      </c>
      <c r="T9" s="35">
        <v>0.37559999999999999</v>
      </c>
      <c r="U9" s="35">
        <v>0.35510000000000003</v>
      </c>
      <c r="V9" s="34">
        <v>0.18729999999999999</v>
      </c>
      <c r="W9" s="34">
        <v>0.22539999999999999</v>
      </c>
      <c r="X9" s="33">
        <v>0.28999999999999998</v>
      </c>
      <c r="Y9" s="33">
        <v>0.28000000000000003</v>
      </c>
      <c r="Z9" s="34">
        <v>0.158</v>
      </c>
      <c r="AA9" s="34">
        <v>0.17369999999999999</v>
      </c>
      <c r="AB9" s="33">
        <v>0.4</v>
      </c>
      <c r="AC9" s="33">
        <v>0.42</v>
      </c>
      <c r="AD9" s="72"/>
      <c r="AE9" s="72"/>
      <c r="AF9" s="34">
        <v>0.39500000000000002</v>
      </c>
      <c r="AG9" s="34">
        <v>0.39200000000000002</v>
      </c>
      <c r="AH9" s="33">
        <v>0.52</v>
      </c>
      <c r="AI9" s="33">
        <v>0.49</v>
      </c>
      <c r="AJ9" s="86">
        <v>0.38</v>
      </c>
      <c r="AK9" s="86">
        <v>0.4</v>
      </c>
      <c r="AL9" s="34">
        <v>0.26929999999999998</v>
      </c>
      <c r="AM9" s="34">
        <v>0.2626</v>
      </c>
      <c r="AN9" s="86">
        <v>1.6</v>
      </c>
      <c r="AO9" s="86">
        <v>1.62</v>
      </c>
      <c r="AP9" s="35">
        <v>0.47699999999999998</v>
      </c>
      <c r="AQ9" s="35">
        <v>0.52759999999999996</v>
      </c>
      <c r="AR9" s="61">
        <v>0.19</v>
      </c>
      <c r="AS9" s="61">
        <v>0.21</v>
      </c>
      <c r="AT9" s="35">
        <v>0.27600000000000002</v>
      </c>
      <c r="AU9" s="35">
        <v>0.28899999999999998</v>
      </c>
      <c r="AV9" s="34">
        <v>0.15859999999999999</v>
      </c>
      <c r="AW9" s="34">
        <v>0.2031</v>
      </c>
      <c r="AX9" s="34">
        <v>0.27929999999999999</v>
      </c>
      <c r="AY9" s="34">
        <v>0.29110000000000003</v>
      </c>
      <c r="AZ9" s="34">
        <v>0.30509999999999998</v>
      </c>
      <c r="BA9" s="34">
        <v>0.2999</v>
      </c>
      <c r="BB9" s="33">
        <v>0.34</v>
      </c>
      <c r="BC9" s="33">
        <v>0.32</v>
      </c>
      <c r="BD9" s="91">
        <v>16.37</v>
      </c>
      <c r="BE9" s="91">
        <v>17.22</v>
      </c>
      <c r="BF9" s="30">
        <v>21.71</v>
      </c>
      <c r="BG9" s="30">
        <v>25.25</v>
      </c>
      <c r="BH9" s="34">
        <v>0.29909999999999998</v>
      </c>
      <c r="BI9" s="34">
        <v>0.29349999999999998</v>
      </c>
      <c r="BJ9" s="34">
        <v>0.1447</v>
      </c>
      <c r="BK9" s="34">
        <v>0.1721</v>
      </c>
    </row>
    <row r="10" spans="1:63" ht="30" x14ac:dyDescent="0.25">
      <c r="A10" s="11" t="s">
        <v>129</v>
      </c>
      <c r="B10" s="34">
        <v>0.74170000000000003</v>
      </c>
      <c r="C10" s="34">
        <v>0.84709999999999996</v>
      </c>
      <c r="D10" s="61">
        <v>0.66</v>
      </c>
      <c r="E10" s="33">
        <v>0.57999999999999996</v>
      </c>
      <c r="F10" s="34">
        <v>-4.0000000000000001E-3</v>
      </c>
      <c r="G10" s="34">
        <v>1.61E-2</v>
      </c>
      <c r="H10" s="34">
        <v>0.20979999999999999</v>
      </c>
      <c r="I10" s="34">
        <v>0.23710000000000001</v>
      </c>
      <c r="J10" s="91">
        <v>0.48</v>
      </c>
      <c r="K10" s="91">
        <v>0.49</v>
      </c>
      <c r="L10" s="34">
        <v>0.49940000000000001</v>
      </c>
      <c r="M10" s="34">
        <v>0.51559999999999995</v>
      </c>
      <c r="N10" s="34">
        <v>0.31119999999999998</v>
      </c>
      <c r="O10" s="34">
        <v>0.35049999999999998</v>
      </c>
      <c r="P10" s="33">
        <v>0.4</v>
      </c>
      <c r="Q10" s="33">
        <v>0.5</v>
      </c>
      <c r="R10" s="33">
        <v>0.49</v>
      </c>
      <c r="S10" s="33">
        <v>0.5</v>
      </c>
      <c r="T10" s="35">
        <v>0.37009999999999998</v>
      </c>
      <c r="U10" s="35">
        <v>0.34749999999999998</v>
      </c>
      <c r="V10" s="34">
        <v>0.20180000000000001</v>
      </c>
      <c r="W10" s="34">
        <v>0.24199999999999999</v>
      </c>
      <c r="X10" s="33">
        <v>0.42</v>
      </c>
      <c r="Y10" s="33">
        <v>0.42</v>
      </c>
      <c r="Z10" s="34">
        <v>0.19</v>
      </c>
      <c r="AA10" s="34">
        <v>0.2031</v>
      </c>
      <c r="AB10" s="33">
        <v>0.45</v>
      </c>
      <c r="AC10" s="33">
        <v>0.46</v>
      </c>
      <c r="AD10" s="72"/>
      <c r="AE10" s="72"/>
      <c r="AF10" s="34">
        <v>0.47799999999999998</v>
      </c>
      <c r="AG10" s="34">
        <v>0.47</v>
      </c>
      <c r="AH10" s="33">
        <v>0.54</v>
      </c>
      <c r="AI10" s="33">
        <v>0.52</v>
      </c>
      <c r="AJ10" s="86">
        <v>0.5</v>
      </c>
      <c r="AK10" s="86">
        <v>0.52</v>
      </c>
      <c r="AL10" s="34">
        <v>0.28420000000000001</v>
      </c>
      <c r="AM10" s="34">
        <v>0.27750000000000002</v>
      </c>
      <c r="AN10" s="86">
        <v>1.84</v>
      </c>
      <c r="AO10" s="86">
        <v>1.87</v>
      </c>
      <c r="AP10" s="35">
        <v>0.53110000000000002</v>
      </c>
      <c r="AQ10" s="35">
        <v>0.59489999999999998</v>
      </c>
      <c r="AR10" s="61">
        <v>0.33</v>
      </c>
      <c r="AS10" s="61">
        <v>0.37</v>
      </c>
      <c r="AT10" s="35">
        <v>0.36199999999999999</v>
      </c>
      <c r="AU10" s="35">
        <v>0.39500000000000002</v>
      </c>
      <c r="AV10" s="34">
        <v>0.1575</v>
      </c>
      <c r="AW10" s="34">
        <v>0.25169999999999998</v>
      </c>
      <c r="AX10" s="34">
        <v>0.3029</v>
      </c>
      <c r="AY10" s="34">
        <v>0.31640000000000001</v>
      </c>
      <c r="AZ10" s="34">
        <v>0.31619999999999998</v>
      </c>
      <c r="BA10" s="34">
        <v>0.30980000000000002</v>
      </c>
      <c r="BB10" s="33">
        <v>0.38</v>
      </c>
      <c r="BC10" s="33">
        <v>0.36</v>
      </c>
      <c r="BD10" s="91">
        <v>19.62</v>
      </c>
      <c r="BE10" s="91">
        <v>21.25</v>
      </c>
      <c r="BF10" s="30">
        <v>23.86</v>
      </c>
      <c r="BG10" s="30">
        <v>29.15</v>
      </c>
      <c r="BH10" s="34">
        <v>0.34749999999999998</v>
      </c>
      <c r="BI10" s="34">
        <v>0.34160000000000001</v>
      </c>
      <c r="BJ10" s="34">
        <v>0.2329</v>
      </c>
      <c r="BK10" s="34">
        <v>0.28089999999999998</v>
      </c>
    </row>
    <row r="11" spans="1:63" ht="15" customHeight="1" x14ac:dyDescent="0.25">
      <c r="A11" s="11" t="s">
        <v>130</v>
      </c>
      <c r="B11" s="34">
        <v>1.0636000000000001</v>
      </c>
      <c r="C11" s="34">
        <v>1.1429</v>
      </c>
      <c r="D11" s="61">
        <v>0.71</v>
      </c>
      <c r="E11" s="33">
        <v>0.86</v>
      </c>
      <c r="F11" s="34">
        <v>1.0013000000000001</v>
      </c>
      <c r="G11" s="34">
        <v>1.0311999999999999</v>
      </c>
      <c r="H11" s="34">
        <v>0.77569999999999995</v>
      </c>
      <c r="I11" s="34">
        <v>0.76770000000000005</v>
      </c>
      <c r="J11" s="91">
        <v>0.61</v>
      </c>
      <c r="K11" s="91">
        <v>0.79</v>
      </c>
      <c r="L11" s="34">
        <v>0.70079999999999998</v>
      </c>
      <c r="M11" s="34">
        <v>0.74850000000000005</v>
      </c>
      <c r="N11" s="34">
        <v>1.5351999999999999</v>
      </c>
      <c r="O11" s="34">
        <v>2.0968</v>
      </c>
      <c r="P11" s="33">
        <v>0.98</v>
      </c>
      <c r="Q11" s="33">
        <v>1.0900000000000001</v>
      </c>
      <c r="R11" s="33">
        <v>0.65</v>
      </c>
      <c r="S11" s="33">
        <v>0.7</v>
      </c>
      <c r="T11" s="35">
        <v>0.77790000000000004</v>
      </c>
      <c r="U11" s="35">
        <v>0.77049999999999996</v>
      </c>
      <c r="V11" s="34">
        <v>0.83309999999999995</v>
      </c>
      <c r="W11" s="34">
        <v>0.88770000000000004</v>
      </c>
      <c r="X11" s="33">
        <v>0.7</v>
      </c>
      <c r="Y11" s="33">
        <v>0.79</v>
      </c>
      <c r="Z11" s="34">
        <v>1.0134000000000001</v>
      </c>
      <c r="AA11" s="34">
        <v>0.95550000000000002</v>
      </c>
      <c r="AB11" s="33">
        <v>0.81</v>
      </c>
      <c r="AC11" s="33">
        <v>0.79</v>
      </c>
      <c r="AD11" s="72"/>
      <c r="AE11" s="72"/>
      <c r="AF11" s="34">
        <v>0.69899999999999995</v>
      </c>
      <c r="AG11" s="34">
        <v>0.72599999999999998</v>
      </c>
      <c r="AH11" s="33">
        <v>0.84</v>
      </c>
      <c r="AI11" s="33">
        <v>0.96</v>
      </c>
      <c r="AJ11" s="86">
        <v>0.59</v>
      </c>
      <c r="AK11" s="86">
        <v>0.72</v>
      </c>
      <c r="AL11" s="34">
        <v>0.92759999999999998</v>
      </c>
      <c r="AM11" s="34">
        <v>1.0347</v>
      </c>
      <c r="AN11" s="86">
        <v>0.62</v>
      </c>
      <c r="AO11" s="86">
        <v>0.59</v>
      </c>
      <c r="AP11" s="35">
        <v>0.85860000000000003</v>
      </c>
      <c r="AQ11" s="35">
        <v>0.88629999999999998</v>
      </c>
      <c r="AR11" s="61">
        <v>0.77</v>
      </c>
      <c r="AS11" s="61">
        <v>0.78</v>
      </c>
      <c r="AT11" s="35">
        <v>0.86699999999999999</v>
      </c>
      <c r="AU11" s="35">
        <v>0.86399999999999999</v>
      </c>
      <c r="AV11" s="34">
        <v>0.92830000000000001</v>
      </c>
      <c r="AW11" s="34">
        <v>0.88060000000000005</v>
      </c>
      <c r="AX11" s="34">
        <v>0.79600000000000004</v>
      </c>
      <c r="AY11" s="34">
        <v>0.79600000000000004</v>
      </c>
      <c r="AZ11" s="34">
        <v>0.85640000000000005</v>
      </c>
      <c r="BA11" s="34">
        <v>0.88219999999999998</v>
      </c>
      <c r="BB11" s="33">
        <v>0.77</v>
      </c>
      <c r="BC11" s="33">
        <v>0.77</v>
      </c>
      <c r="BD11" s="91">
        <v>108.14</v>
      </c>
      <c r="BE11" s="91">
        <v>100.9</v>
      </c>
      <c r="BF11" s="30">
        <v>110.18</v>
      </c>
      <c r="BG11" s="30">
        <v>113.1</v>
      </c>
      <c r="BH11" s="34">
        <v>0.45989999999999998</v>
      </c>
      <c r="BI11" s="34">
        <v>0.74519999999999997</v>
      </c>
      <c r="BJ11" s="34">
        <v>0.78500000000000003</v>
      </c>
      <c r="BK11" s="34">
        <v>0.72109999999999996</v>
      </c>
    </row>
    <row r="12" spans="1:63" ht="15" customHeight="1" x14ac:dyDescent="0.25">
      <c r="A12" s="11" t="s">
        <v>279</v>
      </c>
      <c r="B12" s="34">
        <v>0.24210000000000001</v>
      </c>
      <c r="C12" s="34">
        <v>0.14979999999999999</v>
      </c>
      <c r="D12" s="61">
        <v>0.69</v>
      </c>
      <c r="E12" s="33">
        <v>0.69</v>
      </c>
      <c r="F12" s="34">
        <v>3.1399999999999997E-2</v>
      </c>
      <c r="G12" s="34">
        <v>0.11799999999999999</v>
      </c>
      <c r="H12" s="34">
        <v>0.1182</v>
      </c>
      <c r="I12" s="34">
        <v>0.15</v>
      </c>
      <c r="J12" s="91"/>
      <c r="K12" s="91"/>
      <c r="L12" s="34">
        <v>0.42880000000000001</v>
      </c>
      <c r="M12" s="34">
        <v>0.89959999999999996</v>
      </c>
      <c r="N12" s="34">
        <v>1.83E-2</v>
      </c>
      <c r="O12" s="34">
        <v>2.1999999999999999E-2</v>
      </c>
      <c r="P12" s="33">
        <v>0.99</v>
      </c>
      <c r="Q12" s="33">
        <v>0.36</v>
      </c>
      <c r="R12" s="33">
        <v>0.16</v>
      </c>
      <c r="S12" s="33">
        <v>0.26</v>
      </c>
      <c r="T12" s="35">
        <v>5.62E-2</v>
      </c>
      <c r="U12" s="35">
        <v>2.4E-2</v>
      </c>
      <c r="V12" s="34">
        <v>0.15640000000000001</v>
      </c>
      <c r="W12" s="34">
        <v>9.8400000000000001E-2</v>
      </c>
      <c r="X12" s="33">
        <v>0.04</v>
      </c>
      <c r="Y12" s="33">
        <v>0.09</v>
      </c>
      <c r="Z12" s="34">
        <v>0.11990000000000001</v>
      </c>
      <c r="AA12" s="34">
        <v>0.12970000000000001</v>
      </c>
      <c r="AB12" s="33">
        <v>0.1</v>
      </c>
      <c r="AC12" s="33">
        <v>0.26</v>
      </c>
      <c r="AD12" s="72"/>
      <c r="AE12" s="72"/>
      <c r="AF12" s="30"/>
      <c r="AG12" s="30"/>
      <c r="AH12" s="33">
        <v>0.97</v>
      </c>
      <c r="AI12" s="33">
        <v>0.99</v>
      </c>
      <c r="AJ12" s="86">
        <v>0.85</v>
      </c>
      <c r="AK12" s="86">
        <v>0.93</v>
      </c>
      <c r="AM12" s="33"/>
      <c r="AN12" s="86">
        <v>0.12</v>
      </c>
      <c r="AO12" s="86">
        <v>0.12</v>
      </c>
      <c r="AP12" s="61"/>
      <c r="AQ12" s="61"/>
      <c r="AR12" s="61">
        <v>7.0000000000000007E-2</v>
      </c>
      <c r="AS12" s="61">
        <v>0.14000000000000001</v>
      </c>
      <c r="AT12" s="35"/>
      <c r="AU12" s="35"/>
      <c r="AV12" s="34">
        <v>7.9000000000000001E-2</v>
      </c>
      <c r="AW12" s="34">
        <v>0.19409999999999999</v>
      </c>
      <c r="AX12" s="34">
        <v>5.6599999999999998E-2</v>
      </c>
      <c r="AY12" s="34">
        <v>8.9200000000000002E-2</v>
      </c>
      <c r="AZ12" s="34">
        <v>0.1792</v>
      </c>
      <c r="BA12" s="34">
        <v>0.9335</v>
      </c>
      <c r="BB12" s="33">
        <v>7.0000000000000007E-2</v>
      </c>
      <c r="BC12" s="33">
        <v>7.0000000000000007E-2</v>
      </c>
      <c r="BD12" s="91"/>
      <c r="BE12" s="91"/>
      <c r="BG12" s="30">
        <v>38</v>
      </c>
      <c r="BH12" s="34">
        <v>0.1391</v>
      </c>
      <c r="BI12" s="34">
        <v>0.24310000000000001</v>
      </c>
      <c r="BJ12" s="34">
        <v>0.111</v>
      </c>
      <c r="BK12" s="34">
        <v>0.1361</v>
      </c>
    </row>
    <row r="13" spans="1:63" ht="15" customHeight="1" x14ac:dyDescent="0.25">
      <c r="A13" s="11" t="s">
        <v>131</v>
      </c>
      <c r="B13" s="34">
        <v>1.8051999999999999</v>
      </c>
      <c r="C13" s="34">
        <v>1.99</v>
      </c>
      <c r="D13" s="61">
        <v>1.37</v>
      </c>
      <c r="E13" s="33">
        <v>1.45</v>
      </c>
      <c r="F13" s="34">
        <v>0.99729999999999996</v>
      </c>
      <c r="G13" s="34">
        <v>1.0472999999999999</v>
      </c>
      <c r="H13" s="34">
        <v>0.98550000000000004</v>
      </c>
      <c r="I13" s="34">
        <v>1.0047999999999999</v>
      </c>
      <c r="J13" s="91">
        <v>0.96</v>
      </c>
      <c r="K13" s="91">
        <v>1.1499999999999999</v>
      </c>
      <c r="L13" s="34">
        <v>1.125</v>
      </c>
      <c r="M13" s="34">
        <v>1.1675</v>
      </c>
      <c r="N13" s="34">
        <v>1.8108</v>
      </c>
      <c r="O13" s="34">
        <v>2.4113000000000002</v>
      </c>
      <c r="P13" s="33">
        <v>1.38</v>
      </c>
      <c r="Q13" s="33">
        <v>1.59</v>
      </c>
      <c r="R13" s="33">
        <v>1.06</v>
      </c>
      <c r="S13" s="33">
        <v>1.1100000000000001</v>
      </c>
      <c r="T13" s="35">
        <v>1.1479999999999999</v>
      </c>
      <c r="U13" s="35">
        <v>1.1180000000000001</v>
      </c>
      <c r="V13" s="34">
        <v>1.0348999999999999</v>
      </c>
      <c r="W13" s="34">
        <v>1.1296999999999999</v>
      </c>
      <c r="X13" s="34">
        <v>1.0529999999999999</v>
      </c>
      <c r="Y13" s="34">
        <v>1.143</v>
      </c>
      <c r="Z13" s="34">
        <v>1.2034</v>
      </c>
      <c r="AA13" s="34">
        <v>1.1586000000000001</v>
      </c>
      <c r="AB13" s="33">
        <v>1.26</v>
      </c>
      <c r="AC13" s="33">
        <v>1.25</v>
      </c>
      <c r="AD13" s="72"/>
      <c r="AE13" s="72"/>
      <c r="AF13" s="34">
        <v>1.177</v>
      </c>
      <c r="AG13" s="34">
        <v>1.1970000000000001</v>
      </c>
      <c r="AH13" s="33">
        <v>1.38</v>
      </c>
      <c r="AI13" s="33">
        <v>1.47</v>
      </c>
      <c r="AJ13" s="86">
        <v>0.96</v>
      </c>
      <c r="AK13" s="86">
        <v>1.1200000000000001</v>
      </c>
      <c r="AL13" s="34">
        <v>1.2118</v>
      </c>
      <c r="AM13" s="34">
        <v>1.3121</v>
      </c>
      <c r="AN13" s="86">
        <v>2.46</v>
      </c>
      <c r="AO13" s="86">
        <v>2.4700000000000002</v>
      </c>
      <c r="AP13" s="35">
        <v>1.3897999999999999</v>
      </c>
      <c r="AQ13" s="35">
        <v>1.4812000000000001</v>
      </c>
      <c r="AR13" s="61">
        <v>1.03</v>
      </c>
      <c r="AS13" s="61">
        <v>1.06</v>
      </c>
      <c r="AT13" s="35">
        <v>1.171</v>
      </c>
      <c r="AU13" s="35">
        <v>1.171</v>
      </c>
      <c r="AV13" s="34">
        <v>1.0858000000000001</v>
      </c>
      <c r="AW13" s="34">
        <v>1.1323000000000001</v>
      </c>
      <c r="AX13" s="34">
        <v>1.099</v>
      </c>
      <c r="AY13" s="34">
        <v>1.1124000000000001</v>
      </c>
      <c r="AZ13" s="34">
        <v>1.1726000000000001</v>
      </c>
      <c r="BA13" s="34">
        <v>1.1920999999999999</v>
      </c>
      <c r="BB13" s="33">
        <v>1.1499999999999999</v>
      </c>
      <c r="BC13" s="33">
        <v>1.1299999999999999</v>
      </c>
      <c r="BD13" s="91">
        <v>126.56</v>
      </c>
      <c r="BE13" s="91">
        <v>120.65</v>
      </c>
      <c r="BF13" s="30">
        <v>123.89</v>
      </c>
      <c r="BG13" s="91">
        <v>141.47</v>
      </c>
      <c r="BH13" s="34">
        <v>0.80730000000000002</v>
      </c>
      <c r="BI13" s="34">
        <v>1.0868</v>
      </c>
      <c r="BJ13" s="34">
        <v>1.018</v>
      </c>
      <c r="BK13" s="34">
        <v>1.0021</v>
      </c>
    </row>
    <row r="14" spans="1:63" ht="15" customHeight="1" x14ac:dyDescent="0.25">
      <c r="A14" s="11" t="s">
        <v>280</v>
      </c>
      <c r="B14" s="34">
        <v>5.3800000000000001E-2</v>
      </c>
      <c r="C14" s="34">
        <v>5.5E-2</v>
      </c>
      <c r="D14" s="61">
        <v>0.02</v>
      </c>
      <c r="E14" s="33">
        <v>0.04</v>
      </c>
      <c r="F14" s="34">
        <v>1.5599999999999999E-2</v>
      </c>
      <c r="G14" s="34">
        <v>2.98E-2</v>
      </c>
      <c r="H14" s="34">
        <v>2.29E-2</v>
      </c>
      <c r="I14" s="34">
        <v>4.3499999999999997E-2</v>
      </c>
      <c r="J14" s="91"/>
      <c r="K14" s="91"/>
      <c r="L14" s="34">
        <v>1.7999999999999999E-2</v>
      </c>
      <c r="M14" s="34">
        <v>3.78E-2</v>
      </c>
      <c r="N14" s="34">
        <v>8.1500000000000003E-2</v>
      </c>
      <c r="O14" s="34">
        <v>7.8399999999999997E-2</v>
      </c>
      <c r="P14" s="33">
        <v>2.4799999999999999E-2</v>
      </c>
      <c r="Q14" s="33">
        <v>3.9600000000000003E-2</v>
      </c>
      <c r="R14" s="33">
        <v>0</v>
      </c>
      <c r="S14" s="33">
        <v>0.01</v>
      </c>
      <c r="T14" s="35">
        <v>1.6400000000000001E-2</v>
      </c>
      <c r="U14" s="35">
        <v>3.2599999999999997E-2</v>
      </c>
      <c r="V14" s="34">
        <v>1.8599999999999998E-2</v>
      </c>
      <c r="W14" s="34">
        <v>3.6200000000000003E-2</v>
      </c>
      <c r="X14" s="33">
        <v>0.02</v>
      </c>
      <c r="Y14" s="33">
        <v>0.04</v>
      </c>
      <c r="Z14" s="34">
        <v>2.1100000000000001E-2</v>
      </c>
      <c r="AA14" s="34">
        <v>3.7999999999999999E-2</v>
      </c>
      <c r="AB14" s="34">
        <v>7.3200000000000001E-2</v>
      </c>
      <c r="AC14" s="34">
        <v>6.5100000000000005E-2</v>
      </c>
      <c r="AD14" s="72"/>
      <c r="AE14" s="72"/>
      <c r="AF14" s="34">
        <v>1.7000000000000001E-2</v>
      </c>
      <c r="AG14" s="34">
        <v>3.3000000000000002E-2</v>
      </c>
      <c r="AH14" s="33">
        <v>1.5599999999999999E-2</v>
      </c>
      <c r="AI14" s="33">
        <v>0.03</v>
      </c>
      <c r="AJ14" s="86">
        <v>0.02</v>
      </c>
      <c r="AK14" s="86">
        <v>0.03</v>
      </c>
      <c r="AL14" s="34">
        <v>2.75E-2</v>
      </c>
      <c r="AM14" s="34">
        <v>4.9500000000000002E-2</v>
      </c>
      <c r="AN14" s="86">
        <v>0.02</v>
      </c>
      <c r="AO14" s="86" t="s">
        <v>327</v>
      </c>
      <c r="AP14" s="35">
        <v>3.1099999999999999E-2</v>
      </c>
      <c r="AQ14" s="35">
        <v>6.0299999999999999E-2</v>
      </c>
      <c r="AR14" s="61">
        <v>0.08</v>
      </c>
      <c r="AS14" s="61">
        <v>0.08</v>
      </c>
      <c r="AT14" s="35"/>
      <c r="AU14" s="35"/>
      <c r="AV14" s="34">
        <v>2.1600000000000001E-2</v>
      </c>
      <c r="AW14" s="34">
        <v>4.6300000000000001E-2</v>
      </c>
      <c r="AX14" s="34">
        <v>1.8599999999999998E-2</v>
      </c>
      <c r="AY14" s="34">
        <v>3.8800000000000001E-2</v>
      </c>
      <c r="AZ14" s="34">
        <v>3.5900000000000001E-2</v>
      </c>
      <c r="BA14" s="34">
        <v>5.3999999999999999E-2</v>
      </c>
      <c r="BB14" s="33">
        <v>0.02</v>
      </c>
      <c r="BC14" s="33">
        <v>0.05</v>
      </c>
      <c r="BD14" s="91"/>
      <c r="BE14" s="91"/>
      <c r="BG14" s="91">
        <v>7.69</v>
      </c>
      <c r="BH14" s="33">
        <v>2.1399999999999999E-2</v>
      </c>
      <c r="BI14" s="34">
        <v>3.6999999999999998E-2</v>
      </c>
      <c r="BJ14" s="34">
        <v>7.4099999999999999E-2</v>
      </c>
      <c r="BK14" s="34">
        <v>7.1599999999999997E-2</v>
      </c>
    </row>
    <row r="15" spans="1:63" ht="15" customHeight="1" x14ac:dyDescent="0.25">
      <c r="A15" s="11" t="s">
        <v>132</v>
      </c>
      <c r="B15" s="30">
        <v>2.5099999999999998</v>
      </c>
      <c r="C15" s="91">
        <v>1.46</v>
      </c>
      <c r="D15" s="36">
        <v>2.37</v>
      </c>
      <c r="E15" s="36">
        <v>1.23</v>
      </c>
      <c r="F15" s="91">
        <v>0.92</v>
      </c>
      <c r="G15" s="91">
        <v>2.81</v>
      </c>
      <c r="H15" s="30">
        <v>7.29</v>
      </c>
      <c r="I15" s="30">
        <v>3.86</v>
      </c>
      <c r="J15" s="91">
        <v>2.27</v>
      </c>
      <c r="K15" s="91">
        <v>1.27</v>
      </c>
      <c r="L15" s="30">
        <v>6.53</v>
      </c>
      <c r="M15" s="30">
        <v>6.53</v>
      </c>
      <c r="N15" s="91">
        <v>22.49</v>
      </c>
      <c r="O15" s="91">
        <v>22.49</v>
      </c>
      <c r="P15" s="30">
        <v>3.75</v>
      </c>
      <c r="Q15" s="30">
        <v>2.34</v>
      </c>
      <c r="R15" s="33">
        <v>6.09</v>
      </c>
      <c r="S15" s="61">
        <v>3.41</v>
      </c>
      <c r="T15" s="91">
        <v>2.79</v>
      </c>
      <c r="U15" s="91">
        <v>2.79</v>
      </c>
      <c r="V15" s="34">
        <v>3.4310999999999998</v>
      </c>
      <c r="W15" s="34">
        <v>3.4310999999999998</v>
      </c>
      <c r="X15" s="30">
        <v>10.3</v>
      </c>
      <c r="Y15" s="30">
        <v>5.4</v>
      </c>
      <c r="Z15" s="34"/>
      <c r="AA15" s="91">
        <v>3.35</v>
      </c>
      <c r="AB15" s="30">
        <v>6.02</v>
      </c>
      <c r="AC15" s="30">
        <v>3.45</v>
      </c>
      <c r="AD15" s="30"/>
      <c r="AE15" s="30"/>
      <c r="AF15" s="91">
        <v>8.75</v>
      </c>
      <c r="AG15" s="91">
        <v>5.23</v>
      </c>
      <c r="AH15" s="86">
        <v>2.4300000000000002</v>
      </c>
      <c r="AI15" s="86">
        <v>1.27</v>
      </c>
      <c r="AJ15" s="121">
        <v>2.19</v>
      </c>
      <c r="AK15" s="121">
        <v>1.17</v>
      </c>
      <c r="AL15" s="91">
        <v>4.28</v>
      </c>
      <c r="AM15" s="91">
        <v>4.28</v>
      </c>
      <c r="AN15" s="73">
        <v>12.01</v>
      </c>
      <c r="AO15" s="73">
        <v>9.57</v>
      </c>
      <c r="AP15" s="91">
        <v>6.48</v>
      </c>
      <c r="AQ15" s="91">
        <v>3.4</v>
      </c>
      <c r="AR15" s="36">
        <v>6.09</v>
      </c>
      <c r="AS15" s="36">
        <v>3.72</v>
      </c>
      <c r="AT15" s="91">
        <v>5.54</v>
      </c>
      <c r="AU15" s="91">
        <v>5.54</v>
      </c>
      <c r="AV15" s="30">
        <v>5.38</v>
      </c>
      <c r="AW15" s="30">
        <v>3.53</v>
      </c>
      <c r="AX15" s="34">
        <v>21.227799999999998</v>
      </c>
      <c r="AY15" s="34">
        <v>11.8894</v>
      </c>
      <c r="AZ15" s="34">
        <v>2.2351999999999999</v>
      </c>
      <c r="BA15" s="34">
        <v>1.2765</v>
      </c>
      <c r="BB15" s="30">
        <v>6.85</v>
      </c>
      <c r="BC15" s="30">
        <v>3.81</v>
      </c>
      <c r="BD15" s="91">
        <v>6.04</v>
      </c>
      <c r="BE15" s="91">
        <v>2.99</v>
      </c>
      <c r="BF15" s="91">
        <v>6.25</v>
      </c>
      <c r="BG15" s="30">
        <v>3.68</v>
      </c>
      <c r="BH15" s="30">
        <v>9.7200000000000006</v>
      </c>
      <c r="BI15" s="30">
        <v>4.99</v>
      </c>
      <c r="BJ15" s="91">
        <v>2.61</v>
      </c>
      <c r="BK15" s="91">
        <v>4.01</v>
      </c>
    </row>
    <row r="16" spans="1:63" x14ac:dyDescent="0.25">
      <c r="A16" s="11" t="s">
        <v>133</v>
      </c>
      <c r="B16" s="30">
        <v>-1.1000000000000001</v>
      </c>
      <c r="C16" s="91">
        <v>-1.36</v>
      </c>
      <c r="D16" s="36">
        <v>-0.47</v>
      </c>
      <c r="E16" s="36">
        <v>-0.54</v>
      </c>
      <c r="F16" s="91">
        <v>-0.02</v>
      </c>
      <c r="G16" s="91">
        <v>-0.03</v>
      </c>
      <c r="H16" s="30">
        <v>0</v>
      </c>
      <c r="I16" s="30">
        <v>0</v>
      </c>
      <c r="J16" s="36">
        <v>0.11</v>
      </c>
      <c r="K16" s="91">
        <v>-0.15</v>
      </c>
      <c r="L16" s="38">
        <v>-0.15</v>
      </c>
      <c r="M16" s="91">
        <v>-0.14000000000000001</v>
      </c>
      <c r="N16" s="35">
        <v>-0.62519999999999998</v>
      </c>
      <c r="O16" s="34">
        <v>-0.99680000000000002</v>
      </c>
      <c r="P16" s="30">
        <v>-0.54</v>
      </c>
      <c r="Q16" s="30">
        <v>-0.62</v>
      </c>
      <c r="R16" s="33">
        <v>-0.12</v>
      </c>
      <c r="S16" s="61">
        <v>-0.13</v>
      </c>
      <c r="T16" s="36">
        <v>-0.23</v>
      </c>
      <c r="U16" s="36">
        <v>-0.17</v>
      </c>
      <c r="V16" s="91">
        <v>-0.04</v>
      </c>
      <c r="W16" s="91">
        <v>-0.12</v>
      </c>
      <c r="X16" s="33">
        <v>0</v>
      </c>
      <c r="Y16" s="33">
        <v>-0.1</v>
      </c>
      <c r="Z16" s="34">
        <v>-0.2364</v>
      </c>
      <c r="AA16" s="34">
        <v>-0.17399999999999999</v>
      </c>
      <c r="AB16" s="91">
        <v>-0.3</v>
      </c>
      <c r="AC16" s="91">
        <v>-0.23</v>
      </c>
      <c r="AD16" s="30"/>
      <c r="AE16" s="30"/>
      <c r="AF16" s="91">
        <v>-0.27</v>
      </c>
      <c r="AG16" s="91">
        <v>-0.22</v>
      </c>
      <c r="AH16" s="73">
        <v>-0.43</v>
      </c>
      <c r="AI16" s="73">
        <v>-0.54</v>
      </c>
      <c r="AJ16" s="121">
        <v>-0.04</v>
      </c>
      <c r="AK16" s="121">
        <v>-0.22</v>
      </c>
      <c r="AL16" s="30">
        <v>-0.21</v>
      </c>
      <c r="AM16" s="30">
        <v>-0.32</v>
      </c>
      <c r="AN16" s="73" t="s">
        <v>320</v>
      </c>
      <c r="AO16" s="73" t="s">
        <v>328</v>
      </c>
      <c r="AP16" s="91">
        <v>-0.48</v>
      </c>
      <c r="AQ16" s="91">
        <v>-0.56999999999999995</v>
      </c>
      <c r="AR16" s="36">
        <v>-0.09</v>
      </c>
      <c r="AS16" s="36">
        <v>-0.11</v>
      </c>
      <c r="AT16" s="91">
        <v>-0.17</v>
      </c>
      <c r="AU16" s="91">
        <v>-0.15</v>
      </c>
      <c r="AV16" s="30">
        <v>-0.12</v>
      </c>
      <c r="AW16" s="30">
        <v>-0.13</v>
      </c>
      <c r="AX16" s="34">
        <v>-2.3900000000000001E-2</v>
      </c>
      <c r="AY16" s="34">
        <v>-3.1800000000000002E-2</v>
      </c>
      <c r="AZ16" s="34">
        <v>-6.3399999999999998E-2</v>
      </c>
      <c r="BA16" s="34">
        <v>-0.2009</v>
      </c>
      <c r="BB16" s="30">
        <v>-0.17</v>
      </c>
      <c r="BC16" s="30">
        <v>-0.12</v>
      </c>
      <c r="BD16" s="91">
        <v>-0.26</v>
      </c>
      <c r="BE16" s="91">
        <v>-0.21</v>
      </c>
      <c r="BF16" s="91">
        <v>-0.43</v>
      </c>
      <c r="BG16" s="30">
        <v>-0.42</v>
      </c>
      <c r="BH16" s="34">
        <v>-0.33660000000000001</v>
      </c>
      <c r="BI16" s="34">
        <v>-0.35249999999999998</v>
      </c>
      <c r="BJ16" s="91">
        <v>-0.19</v>
      </c>
      <c r="BK16" s="91">
        <v>-0.09</v>
      </c>
    </row>
    <row r="17" spans="1:63" x14ac:dyDescent="0.25">
      <c r="A17" s="11" t="s">
        <v>134</v>
      </c>
      <c r="B17" s="34">
        <v>-1.0328999999999999</v>
      </c>
      <c r="C17" s="34">
        <v>-1.2916000000000001</v>
      </c>
      <c r="D17" s="61">
        <v>-0.41</v>
      </c>
      <c r="E17" s="33">
        <v>-0.48</v>
      </c>
      <c r="F17" s="34">
        <v>6.2899999999999998E-2</v>
      </c>
      <c r="G17" s="34">
        <v>8.14E-2</v>
      </c>
      <c r="H17" s="34">
        <v>0.20669999999999999</v>
      </c>
      <c r="I17" s="34">
        <v>0.20830000000000001</v>
      </c>
      <c r="J17" s="91">
        <v>0.16</v>
      </c>
      <c r="K17" s="91">
        <v>-0.1</v>
      </c>
      <c r="L17" s="34">
        <v>0.1353</v>
      </c>
      <c r="M17" s="34">
        <v>0.1439</v>
      </c>
      <c r="N17" s="34">
        <v>8.0100000000000005E-2</v>
      </c>
      <c r="O17" s="34">
        <v>-0.15690000000000001</v>
      </c>
      <c r="P17" s="33">
        <v>-0.45</v>
      </c>
      <c r="Q17" s="33">
        <v>-0.53</v>
      </c>
      <c r="R17" s="33">
        <v>0.04</v>
      </c>
      <c r="S17" s="33">
        <v>0.02</v>
      </c>
      <c r="T17" s="35">
        <v>-0.1249</v>
      </c>
      <c r="U17" s="35">
        <v>-6.3200000000000006E-2</v>
      </c>
      <c r="V17" s="34">
        <v>9.9900000000000003E-2</v>
      </c>
      <c r="W17" s="34">
        <v>2.9899999999999999E-2</v>
      </c>
      <c r="X17" s="33">
        <v>0.14000000000000001</v>
      </c>
      <c r="Y17" s="33">
        <v>0.08</v>
      </c>
      <c r="Z17" s="34">
        <v>-9.1600000000000001E-2</v>
      </c>
      <c r="AA17" s="34">
        <v>-4.2900000000000001E-2</v>
      </c>
      <c r="AB17" s="61">
        <v>-0.18</v>
      </c>
      <c r="AC17" s="33">
        <v>-0.12</v>
      </c>
      <c r="AD17" s="72"/>
      <c r="AE17" s="72"/>
      <c r="AF17" s="34">
        <v>-2.3E-2</v>
      </c>
      <c r="AG17" s="34">
        <v>1.9E-2</v>
      </c>
      <c r="AH17" s="86">
        <v>-0.39</v>
      </c>
      <c r="AI17" s="33">
        <v>-0.49</v>
      </c>
      <c r="AJ17" s="86">
        <v>0.1</v>
      </c>
      <c r="AK17" s="86">
        <v>-7.0000000000000007E-2</v>
      </c>
      <c r="AL17" s="34">
        <v>1.6000000000000001E-3</v>
      </c>
      <c r="AM17" s="34">
        <v>-0.1012</v>
      </c>
      <c r="AN17" s="138" t="s">
        <v>321</v>
      </c>
      <c r="AO17" s="138" t="s">
        <v>329</v>
      </c>
      <c r="AP17" s="35">
        <v>-0.21659999999999999</v>
      </c>
      <c r="AQ17" s="35">
        <v>-0.24959999999999999</v>
      </c>
      <c r="AR17" s="61">
        <v>7.0000000000000007E-2</v>
      </c>
      <c r="AS17" s="61">
        <v>0.1</v>
      </c>
      <c r="AT17" s="35">
        <v>7.0000000000000001E-3</v>
      </c>
      <c r="AU17" s="35">
        <v>5.6000000000000001E-2</v>
      </c>
      <c r="AV17" s="34">
        <v>-4.0000000000000001E-3</v>
      </c>
      <c r="AW17" s="34">
        <v>1.7600000000000001E-2</v>
      </c>
      <c r="AX17" s="34">
        <v>0.34110000000000001</v>
      </c>
      <c r="AY17" s="34">
        <v>0.34339999999999998</v>
      </c>
      <c r="AZ17" s="34">
        <v>-0.1226</v>
      </c>
      <c r="BA17" s="34">
        <v>-0.13850000000000001</v>
      </c>
      <c r="BB17" s="33">
        <v>0.02</v>
      </c>
      <c r="BC17" s="33">
        <v>0.09</v>
      </c>
      <c r="BD17" s="91">
        <v>-5.91</v>
      </c>
      <c r="BE17" s="91">
        <v>-4.38</v>
      </c>
      <c r="BF17" s="30">
        <v>-0.22</v>
      </c>
      <c r="BG17" s="30">
        <v>-22.96</v>
      </c>
      <c r="BH17" s="34">
        <v>-0.1226</v>
      </c>
      <c r="BI17" s="34">
        <v>-0.16639999999999999</v>
      </c>
      <c r="BJ17" s="34">
        <v>4.7199999999999999E-2</v>
      </c>
      <c r="BK17" s="34">
        <v>0.1167</v>
      </c>
    </row>
    <row r="18" spans="1:63" x14ac:dyDescent="0.25">
      <c r="A18" s="11" t="s">
        <v>135</v>
      </c>
      <c r="B18" s="30">
        <v>0.27</v>
      </c>
      <c r="C18" s="91">
        <v>0.27</v>
      </c>
      <c r="D18" s="36">
        <v>0.25</v>
      </c>
      <c r="E18" s="36">
        <v>0.25</v>
      </c>
      <c r="F18" s="91">
        <v>1.48</v>
      </c>
      <c r="G18" s="91">
        <v>0.76</v>
      </c>
      <c r="H18" s="30">
        <v>0.23</v>
      </c>
      <c r="I18" s="30">
        <v>0.23</v>
      </c>
      <c r="J18" s="91">
        <v>0.34</v>
      </c>
      <c r="K18" s="91">
        <v>0.34</v>
      </c>
      <c r="L18" s="91">
        <v>0.22</v>
      </c>
      <c r="M18" s="30">
        <v>0.22</v>
      </c>
      <c r="N18" s="91">
        <v>-0.69</v>
      </c>
      <c r="O18" s="91">
        <v>0.34</v>
      </c>
      <c r="P18" s="30">
        <v>0.66</v>
      </c>
      <c r="Q18" s="30">
        <v>0.66</v>
      </c>
      <c r="R18" s="33">
        <v>0.11</v>
      </c>
      <c r="S18" s="34">
        <v>0.11</v>
      </c>
      <c r="T18" s="34">
        <v>0.38450000000000001</v>
      </c>
      <c r="U18" s="34">
        <v>0.38450000000000001</v>
      </c>
      <c r="V18" s="91">
        <v>0.17</v>
      </c>
      <c r="W18" s="91">
        <v>0.17</v>
      </c>
      <c r="X18" s="30">
        <v>0.1</v>
      </c>
      <c r="Y18" s="30">
        <v>0.1</v>
      </c>
      <c r="Z18" s="34"/>
      <c r="AA18" s="91">
        <v>0.28000000000000003</v>
      </c>
      <c r="AB18" s="91">
        <v>0.14000000000000001</v>
      </c>
      <c r="AC18" s="91">
        <v>0.14000000000000001</v>
      </c>
      <c r="AD18" s="30"/>
      <c r="AE18" s="30"/>
      <c r="AF18" s="91">
        <v>0.09</v>
      </c>
      <c r="AG18" s="91">
        <v>0.09</v>
      </c>
      <c r="AH18" s="86">
        <v>0.5</v>
      </c>
      <c r="AI18" s="86">
        <v>0.5</v>
      </c>
      <c r="AJ18" s="121">
        <v>0.31</v>
      </c>
      <c r="AK18" s="121">
        <v>0.31</v>
      </c>
      <c r="AL18" s="139">
        <v>0.22</v>
      </c>
      <c r="AM18" s="30">
        <v>0.22</v>
      </c>
      <c r="AN18" s="73">
        <v>0.39</v>
      </c>
      <c r="AO18" s="73">
        <v>0.39</v>
      </c>
      <c r="AP18" s="91">
        <v>0.21</v>
      </c>
      <c r="AQ18" s="91">
        <v>0.21</v>
      </c>
      <c r="AR18" s="36">
        <v>0.34</v>
      </c>
      <c r="AS18" s="36">
        <v>0.34</v>
      </c>
      <c r="AT18" s="91">
        <v>0.27</v>
      </c>
      <c r="AU18" s="91">
        <v>0.27</v>
      </c>
      <c r="AV18" s="30">
        <v>0.27</v>
      </c>
      <c r="AW18" s="30">
        <v>0.27</v>
      </c>
      <c r="AX18" s="34">
        <v>4.2299999999999997E-2</v>
      </c>
      <c r="AY18" s="34">
        <v>4.2299999999999997E-2</v>
      </c>
      <c r="AZ18" s="34">
        <v>0.31240000000000001</v>
      </c>
      <c r="BA18" s="34">
        <v>0.31240000000000001</v>
      </c>
      <c r="BB18" s="30">
        <v>0.22</v>
      </c>
      <c r="BC18" s="30">
        <v>0.22</v>
      </c>
      <c r="BD18" s="91">
        <v>0.31</v>
      </c>
      <c r="BE18" s="91">
        <v>0.31</v>
      </c>
      <c r="BF18" s="30">
        <v>0.2</v>
      </c>
      <c r="BG18" s="30">
        <v>0.2</v>
      </c>
      <c r="BH18" s="30">
        <v>0.16</v>
      </c>
      <c r="BI18" s="30">
        <v>0.16</v>
      </c>
      <c r="BJ18" s="35">
        <v>0.44740000000000002</v>
      </c>
      <c r="BK18" s="35">
        <v>0.44740000000000002</v>
      </c>
    </row>
    <row r="19" spans="1:63" x14ac:dyDescent="0.25">
      <c r="A19" s="11" t="s">
        <v>136</v>
      </c>
      <c r="B19" s="34">
        <v>-0.72599999999999998</v>
      </c>
      <c r="C19" s="34">
        <v>-0.88249999999999995</v>
      </c>
      <c r="D19" s="61">
        <v>-0.33</v>
      </c>
      <c r="E19" s="33">
        <v>-0.39</v>
      </c>
      <c r="F19" s="34">
        <v>7.3599999999999999E-2</v>
      </c>
      <c r="G19" s="34">
        <v>7.2099999999999997E-2</v>
      </c>
      <c r="H19" s="34">
        <v>0.19620000000000001</v>
      </c>
      <c r="I19" s="34">
        <v>0.2127</v>
      </c>
      <c r="J19" s="91">
        <v>0.11</v>
      </c>
      <c r="K19" s="91">
        <v>-0.04</v>
      </c>
      <c r="L19" s="34">
        <v>1.7000000000000001E-2</v>
      </c>
      <c r="M19" s="34">
        <v>2.7799999999999998E-2</v>
      </c>
      <c r="N19" s="34">
        <v>0.63439999999999996</v>
      </c>
      <c r="O19" s="34">
        <v>0.49059999999999998</v>
      </c>
      <c r="P19" s="33">
        <v>-0.39</v>
      </c>
      <c r="Q19" s="33">
        <v>-0.48</v>
      </c>
      <c r="R19" s="33">
        <v>0.06</v>
      </c>
      <c r="S19" s="33">
        <v>0.04</v>
      </c>
      <c r="T19" s="35">
        <v>-7.9000000000000001E-2</v>
      </c>
      <c r="U19" s="35">
        <v>-3.4500000000000003E-2</v>
      </c>
      <c r="V19" s="34">
        <v>9.9500000000000005E-2</v>
      </c>
      <c r="W19" s="34">
        <v>4.7199999999999999E-2</v>
      </c>
      <c r="X19" s="33">
        <v>0.14000000000000001</v>
      </c>
      <c r="Y19" s="33">
        <v>0.1</v>
      </c>
      <c r="Z19" s="34">
        <v>-2.3699999999999999E-2</v>
      </c>
      <c r="AA19" s="34">
        <v>4.1999999999999997E-3</v>
      </c>
      <c r="AB19" s="33">
        <v>-0.13</v>
      </c>
      <c r="AC19" s="33">
        <v>-0.09</v>
      </c>
      <c r="AD19" s="72"/>
      <c r="AE19" s="72"/>
      <c r="AF19" s="34">
        <v>2.7E-2</v>
      </c>
      <c r="AG19" s="34">
        <v>4.2000000000000003E-2</v>
      </c>
      <c r="AH19" s="88">
        <v>-0.35</v>
      </c>
      <c r="AI19" s="33">
        <v>-0.42</v>
      </c>
      <c r="AJ19" s="86">
        <v>0.04</v>
      </c>
      <c r="AK19" s="86">
        <v>-0.11</v>
      </c>
      <c r="AL19" s="34">
        <v>8.0000000000000002E-3</v>
      </c>
      <c r="AM19" s="34">
        <v>-9.1200000000000003E-2</v>
      </c>
      <c r="AN19" s="138" t="s">
        <v>322</v>
      </c>
      <c r="AO19" s="138" t="s">
        <v>330</v>
      </c>
      <c r="AP19" s="35">
        <v>-0.27679999999999999</v>
      </c>
      <c r="AQ19" s="41">
        <v>-0.35439999999999999</v>
      </c>
      <c r="AR19" s="61">
        <v>0.04</v>
      </c>
      <c r="AS19" s="61">
        <v>0.05</v>
      </c>
      <c r="AT19" s="35">
        <v>6.2E-2</v>
      </c>
      <c r="AU19" s="35">
        <v>9.6000000000000002E-2</v>
      </c>
      <c r="AV19" s="34">
        <v>3.9899999999999998E-2</v>
      </c>
      <c r="AW19" s="34">
        <v>6.5299999999999997E-2</v>
      </c>
      <c r="AX19" s="34">
        <v>0.34210000000000002</v>
      </c>
      <c r="AY19" s="34">
        <v>0.3911</v>
      </c>
      <c r="AZ19" s="34">
        <v>-6.25E-2</v>
      </c>
      <c r="BA19" s="34">
        <v>-7.9600000000000004E-2</v>
      </c>
      <c r="BB19" s="33">
        <v>0.05</v>
      </c>
      <c r="BC19" s="33">
        <v>0.1</v>
      </c>
      <c r="BD19" s="91">
        <v>1.74</v>
      </c>
      <c r="BE19" s="91">
        <v>1.47</v>
      </c>
      <c r="BF19" s="30">
        <v>-18.22</v>
      </c>
      <c r="BG19" s="30">
        <v>-20.16</v>
      </c>
      <c r="BH19" s="34">
        <v>-0.10979999999999999</v>
      </c>
      <c r="BI19" s="34">
        <v>-0.15440000000000001</v>
      </c>
      <c r="BJ19" s="34">
        <v>6.0100000000000001E-2</v>
      </c>
      <c r="BK19" s="34">
        <v>9.0200000000000002E-2</v>
      </c>
    </row>
    <row r="20" spans="1:63" x14ac:dyDescent="0.25">
      <c r="A20" s="11" t="s">
        <v>137</v>
      </c>
      <c r="B20" s="34">
        <v>-0.52949999999999997</v>
      </c>
      <c r="C20" s="34">
        <v>-1.1085</v>
      </c>
      <c r="D20" s="61">
        <v>-0.23</v>
      </c>
      <c r="E20" s="33">
        <v>-0.51</v>
      </c>
      <c r="F20" s="34">
        <v>5.5899999999999998E-2</v>
      </c>
      <c r="G20" s="34">
        <v>5.5899999999999998E-2</v>
      </c>
      <c r="H20" s="34">
        <v>5.3699999999999998E-2</v>
      </c>
      <c r="I20" s="34">
        <v>9.9400000000000002E-2</v>
      </c>
      <c r="J20" s="91">
        <v>0.08</v>
      </c>
      <c r="K20" s="91">
        <v>-0.06</v>
      </c>
      <c r="L20" s="34">
        <v>8.0000000000000002E-3</v>
      </c>
      <c r="M20" s="34">
        <v>2.2599999999999999E-2</v>
      </c>
      <c r="N20" s="34">
        <v>2.6200000000000001E-2</v>
      </c>
      <c r="O20" s="34">
        <v>2.6200000000000001E-2</v>
      </c>
      <c r="P20" s="33">
        <v>-0.19</v>
      </c>
      <c r="Q20" s="33">
        <v>-0.44</v>
      </c>
      <c r="R20" s="33">
        <v>0.03</v>
      </c>
      <c r="S20" s="33">
        <v>0.04</v>
      </c>
      <c r="T20" s="35">
        <v>-6.4299999999999996E-2</v>
      </c>
      <c r="U20" s="35">
        <v>-4.2999999999999997E-2</v>
      </c>
      <c r="V20" s="34">
        <v>4.9299999999999997E-2</v>
      </c>
      <c r="W20" s="34">
        <v>4.9299999999999997E-2</v>
      </c>
      <c r="X20" s="33">
        <v>0.05</v>
      </c>
      <c r="Y20" s="33">
        <v>7.0000000000000007E-2</v>
      </c>
      <c r="Z20" s="34"/>
      <c r="AA20" s="34">
        <v>4.3E-3</v>
      </c>
      <c r="AB20" s="33">
        <v>-0.05</v>
      </c>
      <c r="AC20" s="33">
        <v>-7.0000000000000007E-2</v>
      </c>
      <c r="AD20" s="72"/>
      <c r="AE20" s="72"/>
      <c r="AF20" s="34">
        <v>1.6E-2</v>
      </c>
      <c r="AG20" s="34">
        <v>4.2999999999999997E-2</v>
      </c>
      <c r="AH20" s="88">
        <v>-0.37</v>
      </c>
      <c r="AI20" s="33">
        <v>-0.86</v>
      </c>
      <c r="AJ20" s="86">
        <v>0.03</v>
      </c>
      <c r="AK20" s="86">
        <v>-0.18</v>
      </c>
      <c r="AL20" s="33"/>
      <c r="AM20" s="33">
        <v>-8.391</v>
      </c>
      <c r="AN20" s="138" t="s">
        <v>323</v>
      </c>
      <c r="AO20" s="138" t="s">
        <v>331</v>
      </c>
      <c r="AP20" s="35">
        <v>-0.11169999999999999</v>
      </c>
      <c r="AQ20" s="35">
        <v>-0.27279999999999999</v>
      </c>
      <c r="AR20" s="61">
        <v>0.03</v>
      </c>
      <c r="AS20" s="61">
        <v>7.0000000000000007E-2</v>
      </c>
      <c r="AT20" s="35">
        <v>2.4E-2</v>
      </c>
      <c r="AU20" s="35">
        <v>6.5000000000000002E-2</v>
      </c>
      <c r="AV20" s="34">
        <v>1.77E-2</v>
      </c>
      <c r="AW20" s="34">
        <v>4.4200000000000003E-2</v>
      </c>
      <c r="AX20" s="34">
        <v>0.12759999999999999</v>
      </c>
      <c r="AY20" s="34">
        <v>0.12759999999999999</v>
      </c>
      <c r="AZ20" s="34">
        <v>-5.33E-2</v>
      </c>
      <c r="BA20" s="34">
        <v>-0.11890000000000001</v>
      </c>
      <c r="BB20" s="33">
        <v>0.02</v>
      </c>
      <c r="BC20" s="33">
        <v>0.09</v>
      </c>
      <c r="BD20" s="91">
        <v>0.7</v>
      </c>
      <c r="BE20" s="91">
        <v>1.2</v>
      </c>
      <c r="BF20" s="30">
        <v>-66.58</v>
      </c>
      <c r="BG20" s="30">
        <v>-125.89</v>
      </c>
      <c r="BH20" s="34">
        <v>-0.1116</v>
      </c>
      <c r="BI20" s="34">
        <v>-0.30549999999999999</v>
      </c>
      <c r="BJ20" s="34">
        <v>1.72E-2</v>
      </c>
      <c r="BK20" s="34">
        <v>5.1799999999999999E-2</v>
      </c>
    </row>
    <row r="21" spans="1:63" ht="30" x14ac:dyDescent="0.25">
      <c r="A21" s="11" t="s">
        <v>138</v>
      </c>
      <c r="B21" s="30">
        <v>1.61</v>
      </c>
      <c r="C21" s="30">
        <v>1.61</v>
      </c>
      <c r="D21" s="30">
        <v>1.73</v>
      </c>
      <c r="E21" s="30">
        <v>1.73</v>
      </c>
      <c r="F21" s="91">
        <v>1.88</v>
      </c>
      <c r="G21" s="91">
        <v>1.88</v>
      </c>
      <c r="H21" s="30">
        <v>3.5</v>
      </c>
      <c r="I21" s="30">
        <v>3.5</v>
      </c>
      <c r="J21" s="91">
        <v>1.9</v>
      </c>
      <c r="K21" s="91">
        <v>1.9</v>
      </c>
      <c r="L21" s="30">
        <v>1.77</v>
      </c>
      <c r="M21" s="30">
        <v>1.77</v>
      </c>
      <c r="N21" s="77"/>
      <c r="O21" s="91">
        <v>20.79</v>
      </c>
      <c r="P21" s="30">
        <v>1.79</v>
      </c>
      <c r="Q21" s="30">
        <v>1.79</v>
      </c>
      <c r="R21" s="30">
        <v>1.58</v>
      </c>
      <c r="S21" s="91">
        <v>1.58</v>
      </c>
      <c r="T21" s="30">
        <v>1.64</v>
      </c>
      <c r="U21" s="30">
        <v>1.64</v>
      </c>
      <c r="V21" s="91">
        <v>1.71</v>
      </c>
      <c r="W21" s="91">
        <v>1.71</v>
      </c>
      <c r="X21" s="30">
        <v>2.4900000000000002</v>
      </c>
      <c r="Y21" s="30">
        <v>2.4900000000000002</v>
      </c>
      <c r="Z21" s="34"/>
      <c r="AA21" s="91">
        <v>1.51</v>
      </c>
      <c r="AB21" s="30">
        <v>2.66</v>
      </c>
      <c r="AC21" s="30">
        <v>2.66</v>
      </c>
      <c r="AD21" s="30"/>
      <c r="AE21" s="30"/>
      <c r="AF21" s="91">
        <v>1.82</v>
      </c>
      <c r="AG21" s="91">
        <v>1.82</v>
      </c>
      <c r="AH21" s="86">
        <v>1.77</v>
      </c>
      <c r="AI21" s="86">
        <v>1.77</v>
      </c>
      <c r="AJ21" s="121">
        <v>1.66</v>
      </c>
      <c r="AK21" s="121">
        <v>1.66</v>
      </c>
      <c r="AL21" s="30">
        <v>0.01</v>
      </c>
      <c r="AM21" s="30">
        <v>0.01</v>
      </c>
      <c r="AN21" s="73">
        <v>1.67</v>
      </c>
      <c r="AO21" s="73">
        <v>1.67</v>
      </c>
      <c r="AP21" s="30">
        <v>2.76</v>
      </c>
      <c r="AQ21" s="30"/>
      <c r="AR21" s="77">
        <v>1.69</v>
      </c>
      <c r="AS21" s="77">
        <v>1.69</v>
      </c>
      <c r="AT21" s="91">
        <v>2.0699999999999998</v>
      </c>
      <c r="AU21" s="91">
        <v>2.0699999999999998</v>
      </c>
      <c r="AV21" s="30">
        <v>2.04</v>
      </c>
      <c r="AW21" s="30">
        <v>2.04</v>
      </c>
      <c r="AX21" s="30">
        <v>4.05</v>
      </c>
      <c r="AY21" s="30">
        <v>4.05</v>
      </c>
      <c r="AZ21" s="30">
        <v>1.52</v>
      </c>
      <c r="BA21" s="30">
        <v>1.71</v>
      </c>
      <c r="BB21" s="30">
        <v>2.17</v>
      </c>
      <c r="BC21" s="30">
        <v>2.17</v>
      </c>
      <c r="BD21" s="30">
        <v>1.9</v>
      </c>
      <c r="BE21" s="30">
        <v>1.9</v>
      </c>
      <c r="BF21" s="30"/>
      <c r="BG21" s="30">
        <v>0.12</v>
      </c>
      <c r="BH21" s="30">
        <v>0.74</v>
      </c>
      <c r="BI21" s="30">
        <v>0.74</v>
      </c>
      <c r="BJ21" s="30">
        <v>2.06</v>
      </c>
      <c r="BK21" s="30">
        <v>2.06</v>
      </c>
    </row>
  </sheetData>
  <mergeCells count="31">
    <mergeCell ref="V2:W2"/>
    <mergeCell ref="L2:M2"/>
    <mergeCell ref="N2:O2"/>
    <mergeCell ref="P2:Q2"/>
    <mergeCell ref="R2:S2"/>
    <mergeCell ref="T2:U2"/>
    <mergeCell ref="J2:K2"/>
    <mergeCell ref="B2:C2"/>
    <mergeCell ref="D2:E2"/>
    <mergeCell ref="F2:G2"/>
    <mergeCell ref="H2:I2"/>
    <mergeCell ref="X2:Y2"/>
    <mergeCell ref="Z2:AA2"/>
    <mergeCell ref="AB2:AC2"/>
    <mergeCell ref="AD2:AE2"/>
    <mergeCell ref="AH2:AI2"/>
    <mergeCell ref="AF2:AG2"/>
    <mergeCell ref="AJ2:AK2"/>
    <mergeCell ref="AL2:AM2"/>
    <mergeCell ref="AN2:AO2"/>
    <mergeCell ref="AP2:AQ2"/>
    <mergeCell ref="BF2:BG2"/>
    <mergeCell ref="AR2:AS2"/>
    <mergeCell ref="AT2:AU2"/>
    <mergeCell ref="AV2:AW2"/>
    <mergeCell ref="BH2:BI2"/>
    <mergeCell ref="BJ2:BK2"/>
    <mergeCell ref="BD2:BE2"/>
    <mergeCell ref="AX2:AY2"/>
    <mergeCell ref="AZ2:BA2"/>
    <mergeCell ref="BB2:BC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" sqref="C1"/>
    </sheetView>
  </sheetViews>
  <sheetFormatPr defaultRowHeight="15" x14ac:dyDescent="0.25"/>
  <cols>
    <col min="1" max="1" width="47.42578125" style="22" customWidth="1"/>
    <col min="2" max="16" width="16" style="22" customWidth="1"/>
    <col min="17" max="17" width="19.5703125" style="22" customWidth="1"/>
    <col min="18" max="32" width="16" style="22" customWidth="1"/>
    <col min="33" max="16384" width="9.140625" style="22"/>
  </cols>
  <sheetData>
    <row r="1" spans="1:32" ht="18.75" x14ac:dyDescent="0.3">
      <c r="A1" s="8" t="s">
        <v>255</v>
      </c>
    </row>
    <row r="2" spans="1:32" x14ac:dyDescent="0.25">
      <c r="A2" s="22" t="s">
        <v>98</v>
      </c>
    </row>
    <row r="3" spans="1:32" x14ac:dyDescent="0.25">
      <c r="A3" s="1" t="s">
        <v>0</v>
      </c>
      <c r="B3" s="127" t="s">
        <v>1</v>
      </c>
      <c r="C3" s="127" t="s">
        <v>233</v>
      </c>
      <c r="D3" s="127" t="s">
        <v>2</v>
      </c>
      <c r="E3" s="127" t="s">
        <v>3</v>
      </c>
      <c r="F3" s="127" t="s">
        <v>242</v>
      </c>
      <c r="G3" s="127" t="s">
        <v>234</v>
      </c>
      <c r="H3" s="127" t="s">
        <v>5</v>
      </c>
      <c r="I3" s="127" t="s">
        <v>4</v>
      </c>
      <c r="J3" s="127" t="s">
        <v>6</v>
      </c>
      <c r="K3" s="127" t="s">
        <v>254</v>
      </c>
      <c r="L3" s="127" t="s">
        <v>7</v>
      </c>
      <c r="M3" s="127" t="s">
        <v>8</v>
      </c>
      <c r="N3" s="127" t="s">
        <v>9</v>
      </c>
      <c r="O3" s="127" t="s">
        <v>241</v>
      </c>
      <c r="P3" s="127" t="s">
        <v>10</v>
      </c>
      <c r="Q3" s="127" t="s">
        <v>11</v>
      </c>
      <c r="R3" s="127" t="s">
        <v>235</v>
      </c>
      <c r="S3" s="127" t="s">
        <v>253</v>
      </c>
      <c r="T3" s="127" t="s">
        <v>12</v>
      </c>
      <c r="U3" s="127" t="s">
        <v>236</v>
      </c>
      <c r="V3" s="127" t="s">
        <v>237</v>
      </c>
      <c r="W3" s="127" t="s">
        <v>240</v>
      </c>
      <c r="X3" s="127" t="s">
        <v>13</v>
      </c>
      <c r="Y3" s="127" t="s">
        <v>14</v>
      </c>
      <c r="Z3" s="127" t="s">
        <v>15</v>
      </c>
      <c r="AA3" s="127" t="s">
        <v>16</v>
      </c>
      <c r="AB3" s="127" t="s">
        <v>17</v>
      </c>
      <c r="AC3" s="126" t="s">
        <v>238</v>
      </c>
      <c r="AD3" s="171" t="s">
        <v>239</v>
      </c>
      <c r="AE3" s="126" t="s">
        <v>18</v>
      </c>
      <c r="AF3" s="127" t="s">
        <v>19</v>
      </c>
    </row>
    <row r="4" spans="1:32" ht="15" customHeight="1" x14ac:dyDescent="0.25">
      <c r="A4" s="20" t="s">
        <v>99</v>
      </c>
      <c r="B4" s="24">
        <v>54085</v>
      </c>
      <c r="C4" s="24">
        <v>121545</v>
      </c>
      <c r="D4" s="24">
        <v>2514870</v>
      </c>
      <c r="E4" s="92">
        <v>2159349</v>
      </c>
      <c r="F4" s="24">
        <v>204773</v>
      </c>
      <c r="G4" s="24">
        <v>1062115.8</v>
      </c>
      <c r="H4" s="24">
        <v>841760.82</v>
      </c>
      <c r="I4" s="24">
        <v>39442</v>
      </c>
      <c r="J4" s="24">
        <v>479495</v>
      </c>
      <c r="K4" s="24">
        <v>613716</v>
      </c>
      <c r="L4" s="24">
        <v>1565873</v>
      </c>
      <c r="M4" s="24">
        <v>3889522</v>
      </c>
      <c r="N4" s="24">
        <v>1102505.1200000001</v>
      </c>
      <c r="O4" s="24">
        <v>80930</v>
      </c>
      <c r="P4" s="24">
        <v>241105</v>
      </c>
      <c r="Q4" s="24">
        <v>292280</v>
      </c>
      <c r="R4" s="24">
        <v>60669</v>
      </c>
      <c r="S4" s="24">
        <v>116230.08</v>
      </c>
      <c r="T4" s="24">
        <v>3516193</v>
      </c>
      <c r="U4" s="24">
        <v>37990</v>
      </c>
      <c r="V4" s="24">
        <v>60937</v>
      </c>
      <c r="W4" s="24">
        <v>1353298</v>
      </c>
      <c r="X4" s="24">
        <v>589039</v>
      </c>
      <c r="Y4" s="24">
        <v>897485</v>
      </c>
      <c r="Z4" s="24">
        <v>896261</v>
      </c>
      <c r="AA4" s="24">
        <v>645288</v>
      </c>
      <c r="AB4" s="24">
        <v>1470287</v>
      </c>
      <c r="AC4" s="24">
        <v>4818477</v>
      </c>
      <c r="AD4" s="141">
        <v>2644751</v>
      </c>
      <c r="AE4" s="140">
        <v>3574106</v>
      </c>
      <c r="AF4" s="24">
        <v>359753</v>
      </c>
    </row>
    <row r="5" spans="1:32" ht="15" customHeight="1" x14ac:dyDescent="0.25">
      <c r="A5" s="20" t="s">
        <v>100</v>
      </c>
      <c r="B5" s="24"/>
      <c r="C5" s="24"/>
      <c r="D5" s="24"/>
      <c r="E5" s="24"/>
      <c r="F5" s="24">
        <v>171167</v>
      </c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143"/>
      <c r="AE5" s="143"/>
      <c r="AF5" s="24"/>
    </row>
    <row r="6" spans="1:32" ht="15" customHeight="1" x14ac:dyDescent="0.25">
      <c r="A6" s="20" t="s">
        <v>102</v>
      </c>
      <c r="B6" s="24">
        <v>37421</v>
      </c>
      <c r="C6" s="24">
        <v>72756</v>
      </c>
      <c r="D6" s="24">
        <v>965171</v>
      </c>
      <c r="E6" s="92">
        <v>1491371</v>
      </c>
      <c r="F6" s="24"/>
      <c r="G6" s="24">
        <v>677392.4</v>
      </c>
      <c r="H6" s="24">
        <v>816732.81</v>
      </c>
      <c r="I6" s="24">
        <v>30998</v>
      </c>
      <c r="J6" s="24">
        <v>73328</v>
      </c>
      <c r="K6" s="24">
        <v>473107</v>
      </c>
      <c r="L6" s="24">
        <v>1109609</v>
      </c>
      <c r="M6" s="24">
        <v>3153393</v>
      </c>
      <c r="N6" s="24">
        <v>696038.89</v>
      </c>
      <c r="O6" s="24">
        <v>75565</v>
      </c>
      <c r="P6" s="24">
        <v>187406</v>
      </c>
      <c r="Q6" s="24">
        <v>243364</v>
      </c>
      <c r="R6" s="24">
        <v>53115</v>
      </c>
      <c r="S6" s="24">
        <v>23954</v>
      </c>
      <c r="T6" s="24">
        <v>2829798</v>
      </c>
      <c r="U6" s="24">
        <v>30204</v>
      </c>
      <c r="V6" s="24">
        <v>40950</v>
      </c>
      <c r="W6" s="24">
        <v>1064117</v>
      </c>
      <c r="X6" s="24">
        <v>549036</v>
      </c>
      <c r="Y6" s="24">
        <v>890870</v>
      </c>
      <c r="Z6" s="24">
        <v>765503</v>
      </c>
      <c r="AA6" s="24">
        <v>48769</v>
      </c>
      <c r="AB6" s="24">
        <v>1149477</v>
      </c>
      <c r="AC6" s="24">
        <v>4424786</v>
      </c>
      <c r="AD6" s="141">
        <v>1720001</v>
      </c>
      <c r="AE6" s="144">
        <v>2412534</v>
      </c>
      <c r="AF6" s="24">
        <v>245085</v>
      </c>
    </row>
    <row r="7" spans="1:32" ht="15" customHeight="1" x14ac:dyDescent="0.25">
      <c r="A7" s="20" t="s">
        <v>103</v>
      </c>
      <c r="B7" s="24"/>
      <c r="C7" s="24">
        <v>3015</v>
      </c>
      <c r="D7" s="24">
        <v>6000</v>
      </c>
      <c r="E7" s="24"/>
      <c r="F7" s="24"/>
      <c r="G7" s="24">
        <v>223856.4</v>
      </c>
      <c r="H7" s="24">
        <v>39831.42</v>
      </c>
      <c r="I7" s="24">
        <v>585</v>
      </c>
      <c r="J7" s="24">
        <v>399370</v>
      </c>
      <c r="K7" s="24">
        <v>810</v>
      </c>
      <c r="L7" s="24"/>
      <c r="M7" s="24">
        <v>6185</v>
      </c>
      <c r="N7" s="24">
        <v>274153.07</v>
      </c>
      <c r="O7" s="24"/>
      <c r="P7" s="24"/>
      <c r="Q7" s="24">
        <v>48916</v>
      </c>
      <c r="R7" s="24">
        <v>4495</v>
      </c>
      <c r="S7" s="24">
        <v>87765.37</v>
      </c>
      <c r="T7" s="24">
        <v>691938</v>
      </c>
      <c r="U7" s="24"/>
      <c r="V7" s="24">
        <v>17345</v>
      </c>
      <c r="W7" s="24"/>
      <c r="X7" s="24"/>
      <c r="Y7" s="24"/>
      <c r="Z7" s="24">
        <v>88471</v>
      </c>
      <c r="AA7" s="24">
        <v>610047</v>
      </c>
      <c r="AB7" s="24"/>
      <c r="AC7" s="24"/>
      <c r="AD7" s="141">
        <v>602386</v>
      </c>
      <c r="AE7" s="144">
        <v>712822</v>
      </c>
      <c r="AF7" s="24"/>
    </row>
    <row r="8" spans="1:32" ht="30" customHeight="1" x14ac:dyDescent="0.25">
      <c r="A8" s="20" t="s">
        <v>101</v>
      </c>
      <c r="B8" s="24">
        <v>16664</v>
      </c>
      <c r="C8" s="24">
        <v>36777</v>
      </c>
      <c r="D8" s="24">
        <v>1596313</v>
      </c>
      <c r="E8" s="92">
        <v>420654</v>
      </c>
      <c r="F8" s="24">
        <v>15494</v>
      </c>
      <c r="G8" s="24">
        <v>150325.20000000001</v>
      </c>
      <c r="H8" s="24"/>
      <c r="I8" s="24">
        <v>5421</v>
      </c>
      <c r="J8" s="24"/>
      <c r="K8" s="24">
        <v>139644</v>
      </c>
      <c r="L8" s="24">
        <v>456264</v>
      </c>
      <c r="M8" s="24">
        <v>728843</v>
      </c>
      <c r="N8" s="24">
        <v>132313.15</v>
      </c>
      <c r="O8" s="24">
        <v>13</v>
      </c>
      <c r="P8" s="24">
        <v>53467</v>
      </c>
      <c r="Q8" s="24"/>
      <c r="R8" s="24"/>
      <c r="S8" s="24"/>
      <c r="T8" s="24"/>
      <c r="U8" s="24">
        <v>6950</v>
      </c>
      <c r="V8" s="24">
        <v>191</v>
      </c>
      <c r="W8" s="24">
        <v>289181</v>
      </c>
      <c r="X8" s="24">
        <v>63519</v>
      </c>
      <c r="Y8" s="24"/>
      <c r="Z8" s="24">
        <v>34084</v>
      </c>
      <c r="AA8" s="24"/>
      <c r="AB8" s="24">
        <v>320810</v>
      </c>
      <c r="AC8" s="24">
        <v>362227</v>
      </c>
      <c r="AD8" s="141">
        <v>117759</v>
      </c>
      <c r="AE8" s="144">
        <v>440481</v>
      </c>
      <c r="AF8" s="24">
        <v>114541</v>
      </c>
    </row>
    <row r="9" spans="1:32" s="32" customFormat="1" ht="15" customHeight="1" x14ac:dyDescent="0.25">
      <c r="A9" s="14" t="s">
        <v>104</v>
      </c>
      <c r="B9" s="31"/>
      <c r="C9" s="31">
        <v>8998</v>
      </c>
      <c r="D9" s="31">
        <v>-52613</v>
      </c>
      <c r="E9" s="92">
        <v>247324</v>
      </c>
      <c r="F9" s="31">
        <v>18112</v>
      </c>
      <c r="G9" s="31">
        <v>10541.8</v>
      </c>
      <c r="H9" s="31">
        <v>-14803.41</v>
      </c>
      <c r="I9" s="31">
        <v>2438</v>
      </c>
      <c r="J9" s="31">
        <v>6797</v>
      </c>
      <c r="K9" s="31">
        <v>155</v>
      </c>
      <c r="L9" s="31"/>
      <c r="M9" s="31">
        <v>1101</v>
      </c>
      <c r="N9" s="31"/>
      <c r="O9" s="31">
        <v>5352</v>
      </c>
      <c r="P9" s="31">
        <v>232</v>
      </c>
      <c r="Q9" s="31"/>
      <c r="R9" s="31">
        <v>3058</v>
      </c>
      <c r="S9" s="31">
        <v>4510.71</v>
      </c>
      <c r="T9" s="31">
        <v>-5543</v>
      </c>
      <c r="U9" s="31">
        <v>835</v>
      </c>
      <c r="V9" s="31">
        <v>2451</v>
      </c>
      <c r="W9" s="31"/>
      <c r="X9" s="31">
        <v>-23516</v>
      </c>
      <c r="Y9" s="31">
        <v>6615</v>
      </c>
      <c r="Z9" s="31">
        <v>8202</v>
      </c>
      <c r="AA9" s="24"/>
      <c r="AB9" s="31"/>
      <c r="AC9" s="31">
        <v>31463</v>
      </c>
      <c r="AD9" s="141">
        <v>204605</v>
      </c>
      <c r="AE9" s="144">
        <v>8269</v>
      </c>
      <c r="AF9" s="31">
        <v>127</v>
      </c>
    </row>
    <row r="10" spans="1:32" ht="15" customHeight="1" x14ac:dyDescent="0.25">
      <c r="A10" s="20" t="s">
        <v>105</v>
      </c>
      <c r="B10" s="24">
        <v>24869</v>
      </c>
      <c r="C10" s="24">
        <v>31846</v>
      </c>
      <c r="D10" s="24">
        <v>473480</v>
      </c>
      <c r="E10" s="92">
        <v>588779</v>
      </c>
      <c r="F10" s="24">
        <v>107199</v>
      </c>
      <c r="G10" s="24">
        <v>183321.60000000001</v>
      </c>
      <c r="H10" s="24">
        <v>664327.32999999996</v>
      </c>
      <c r="I10" s="24">
        <v>9949</v>
      </c>
      <c r="J10" s="24">
        <v>127649</v>
      </c>
      <c r="K10" s="24">
        <v>119172</v>
      </c>
      <c r="L10" s="24">
        <v>427918</v>
      </c>
      <c r="M10" s="24">
        <v>811097</v>
      </c>
      <c r="N10" s="24">
        <v>489878.19</v>
      </c>
      <c r="O10" s="24">
        <v>37677</v>
      </c>
      <c r="P10" s="24">
        <v>96936</v>
      </c>
      <c r="Q10" s="24">
        <v>54994</v>
      </c>
      <c r="R10" s="24">
        <v>38378</v>
      </c>
      <c r="S10" s="24">
        <v>95157.03</v>
      </c>
      <c r="T10" s="24">
        <v>9444</v>
      </c>
      <c r="U10" s="24">
        <v>7719</v>
      </c>
      <c r="V10" s="24">
        <v>21281</v>
      </c>
      <c r="W10" s="24">
        <v>305172</v>
      </c>
      <c r="X10" s="24">
        <v>164953</v>
      </c>
      <c r="Y10" s="24">
        <v>301371</v>
      </c>
      <c r="Z10" s="24">
        <v>203657</v>
      </c>
      <c r="AA10" s="24">
        <v>369180</v>
      </c>
      <c r="AB10" s="24">
        <v>407351</v>
      </c>
      <c r="AC10" s="24">
        <v>1922359</v>
      </c>
      <c r="AD10" s="141">
        <v>131598</v>
      </c>
      <c r="AE10" s="144">
        <v>376492</v>
      </c>
      <c r="AF10" s="24">
        <v>107321</v>
      </c>
    </row>
    <row r="11" spans="1:32" ht="30" customHeight="1" x14ac:dyDescent="0.25">
      <c r="A11" s="20" t="s">
        <v>106</v>
      </c>
      <c r="B11" s="24">
        <v>4998</v>
      </c>
      <c r="C11" s="24"/>
      <c r="D11" s="24">
        <v>13036</v>
      </c>
      <c r="E11" s="92">
        <v>103016</v>
      </c>
      <c r="F11" s="24">
        <v>31932</v>
      </c>
      <c r="G11" s="24">
        <v>33987.4</v>
      </c>
      <c r="H11" s="24">
        <v>32589.34</v>
      </c>
      <c r="I11" s="24">
        <v>887</v>
      </c>
      <c r="J11" s="24">
        <v>36127</v>
      </c>
      <c r="K11" s="24"/>
      <c r="L11" s="24">
        <v>83575</v>
      </c>
      <c r="M11" s="24">
        <v>32171</v>
      </c>
      <c r="N11" s="24">
        <v>229904.66</v>
      </c>
      <c r="O11" s="24">
        <v>13890</v>
      </c>
      <c r="P11" s="24">
        <v>15347</v>
      </c>
      <c r="Q11" s="24">
        <v>14782</v>
      </c>
      <c r="R11" s="24">
        <v>10572</v>
      </c>
      <c r="S11" s="24">
        <v>41331</v>
      </c>
      <c r="T11" s="24"/>
      <c r="U11" s="24">
        <v>223</v>
      </c>
      <c r="V11" s="24">
        <v>4064</v>
      </c>
      <c r="W11" s="24">
        <v>88282</v>
      </c>
      <c r="X11" s="24">
        <v>13715</v>
      </c>
      <c r="Y11" s="24">
        <v>28633</v>
      </c>
      <c r="Z11" s="24">
        <v>14060</v>
      </c>
      <c r="AA11" s="24">
        <v>42963</v>
      </c>
      <c r="AB11" s="24">
        <v>61817</v>
      </c>
      <c r="AC11" s="24">
        <v>356152</v>
      </c>
      <c r="AD11" s="141">
        <v>285072</v>
      </c>
      <c r="AE11" s="144">
        <v>46400</v>
      </c>
      <c r="AF11" s="24">
        <v>13999</v>
      </c>
    </row>
    <row r="12" spans="1:32" s="32" customFormat="1" x14ac:dyDescent="0.25">
      <c r="A12" s="14" t="s">
        <v>107</v>
      </c>
      <c r="B12" s="31">
        <v>19871</v>
      </c>
      <c r="C12" s="31">
        <v>31846</v>
      </c>
      <c r="D12" s="31">
        <v>460444</v>
      </c>
      <c r="E12" s="31">
        <v>485763</v>
      </c>
      <c r="F12" s="31">
        <v>75266</v>
      </c>
      <c r="G12" s="31">
        <v>149334.20000000001</v>
      </c>
      <c r="H12" s="31">
        <v>631737.99</v>
      </c>
      <c r="I12" s="31">
        <v>9062</v>
      </c>
      <c r="J12" s="31">
        <v>91522</v>
      </c>
      <c r="K12" s="31">
        <v>119172</v>
      </c>
      <c r="L12" s="31">
        <v>344342</v>
      </c>
      <c r="M12" s="31">
        <v>778926</v>
      </c>
      <c r="N12" s="31">
        <v>259973.53</v>
      </c>
      <c r="O12" s="31">
        <v>23788</v>
      </c>
      <c r="P12" s="31">
        <v>81589</v>
      </c>
      <c r="Q12" s="31">
        <v>40212</v>
      </c>
      <c r="R12" s="31">
        <v>27806</v>
      </c>
      <c r="S12" s="85">
        <v>53826.03</v>
      </c>
      <c r="T12" s="31">
        <v>9444</v>
      </c>
      <c r="U12" s="31">
        <v>7495</v>
      </c>
      <c r="V12" s="31">
        <v>17216</v>
      </c>
      <c r="W12" s="31">
        <v>216890</v>
      </c>
      <c r="X12" s="31">
        <v>151238</v>
      </c>
      <c r="Y12" s="31">
        <v>272738</v>
      </c>
      <c r="Z12" s="31">
        <v>189597</v>
      </c>
      <c r="AA12" s="31">
        <v>312690</v>
      </c>
      <c r="AB12" s="31">
        <v>345534</v>
      </c>
      <c r="AC12" s="31">
        <v>1566207</v>
      </c>
      <c r="AD12" s="141">
        <v>-153474</v>
      </c>
      <c r="AE12" s="144">
        <v>330092</v>
      </c>
      <c r="AF12" s="31">
        <v>93322</v>
      </c>
    </row>
    <row r="13" spans="1:32" s="7" customFormat="1" ht="15" customHeight="1" x14ac:dyDescent="0.25">
      <c r="A13" s="3" t="s">
        <v>108</v>
      </c>
      <c r="B13" s="10">
        <v>19871</v>
      </c>
      <c r="C13" s="10">
        <v>40844</v>
      </c>
      <c r="D13" s="10">
        <v>407831</v>
      </c>
      <c r="E13" s="10">
        <v>733087</v>
      </c>
      <c r="F13" s="10">
        <v>93378</v>
      </c>
      <c r="G13" s="10">
        <v>159876</v>
      </c>
      <c r="H13" s="10">
        <v>616934.57999999996</v>
      </c>
      <c r="I13" s="10">
        <v>11500</v>
      </c>
      <c r="J13" s="10">
        <v>98319</v>
      </c>
      <c r="K13" s="10">
        <v>119328</v>
      </c>
      <c r="L13" s="10">
        <v>344342</v>
      </c>
      <c r="M13" s="10">
        <v>780027</v>
      </c>
      <c r="N13" s="10">
        <v>259973.53</v>
      </c>
      <c r="O13" s="10">
        <v>29140</v>
      </c>
      <c r="P13" s="10">
        <v>81820</v>
      </c>
      <c r="Q13" s="10">
        <v>40212</v>
      </c>
      <c r="R13" s="10">
        <v>30865</v>
      </c>
      <c r="S13" s="10">
        <v>58336.74</v>
      </c>
      <c r="T13" s="10">
        <v>3901</v>
      </c>
      <c r="U13" s="10">
        <v>8331</v>
      </c>
      <c r="V13" s="10">
        <v>19668</v>
      </c>
      <c r="W13" s="10">
        <v>216890</v>
      </c>
      <c r="X13" s="10">
        <v>127722</v>
      </c>
      <c r="Y13" s="10">
        <v>279353</v>
      </c>
      <c r="Z13" s="10">
        <v>197799</v>
      </c>
      <c r="AA13" s="10">
        <v>312690</v>
      </c>
      <c r="AB13" s="10">
        <v>345534</v>
      </c>
      <c r="AC13" s="10">
        <v>1597670</v>
      </c>
      <c r="AD13" s="141">
        <v>51131</v>
      </c>
      <c r="AE13" s="144">
        <v>338361</v>
      </c>
      <c r="AF13" s="10">
        <v>93449</v>
      </c>
    </row>
    <row r="14" spans="1:32" s="7" customFormat="1" ht="14.25" customHeight="1" x14ac:dyDescent="0.25">
      <c r="A14" s="3" t="s">
        <v>109</v>
      </c>
      <c r="B14" s="10">
        <v>12336</v>
      </c>
      <c r="C14" s="10">
        <v>23603</v>
      </c>
      <c r="D14" s="10">
        <v>216877</v>
      </c>
      <c r="E14" s="10">
        <v>209203</v>
      </c>
      <c r="F14" s="10">
        <v>49096</v>
      </c>
      <c r="G14" s="10">
        <v>90202.1</v>
      </c>
      <c r="H14" s="10">
        <v>29670.959999999999</v>
      </c>
      <c r="I14" s="10">
        <v>6438</v>
      </c>
      <c r="J14" s="10">
        <v>62416</v>
      </c>
      <c r="K14" s="10">
        <v>73155</v>
      </c>
      <c r="L14" s="10">
        <v>201312</v>
      </c>
      <c r="M14" s="10">
        <v>313865</v>
      </c>
      <c r="N14" s="10">
        <v>171766.2</v>
      </c>
      <c r="O14" s="10">
        <v>10940</v>
      </c>
      <c r="P14" s="10">
        <v>28712</v>
      </c>
      <c r="Q14" s="10">
        <v>22124</v>
      </c>
      <c r="R14" s="10">
        <v>17477</v>
      </c>
      <c r="S14" s="10">
        <v>35069</v>
      </c>
      <c r="T14" s="10">
        <v>405622</v>
      </c>
      <c r="U14" s="10">
        <v>5000</v>
      </c>
      <c r="V14" s="10">
        <v>7129</v>
      </c>
      <c r="W14" s="10">
        <v>128042</v>
      </c>
      <c r="X14" s="10">
        <v>61823</v>
      </c>
      <c r="Y14" s="10">
        <v>136813</v>
      </c>
      <c r="Z14" s="10">
        <v>48836</v>
      </c>
      <c r="AA14" s="10">
        <v>205384</v>
      </c>
      <c r="AB14" s="10">
        <v>158994</v>
      </c>
      <c r="AC14" s="10">
        <v>839478</v>
      </c>
      <c r="AD14" s="140">
        <v>427853</v>
      </c>
      <c r="AE14" s="145">
        <v>455755.91</v>
      </c>
      <c r="AF14" s="10">
        <v>45285</v>
      </c>
    </row>
    <row r="15" spans="1:32" s="133" customFormat="1" ht="14.25" customHeight="1" x14ac:dyDescent="0.25">
      <c r="A15" s="131" t="s">
        <v>110</v>
      </c>
      <c r="B15" s="132">
        <v>1.61</v>
      </c>
      <c r="C15" s="132">
        <v>1.73</v>
      </c>
      <c r="D15" s="132">
        <v>1.88</v>
      </c>
      <c r="E15" s="132">
        <v>3.5</v>
      </c>
      <c r="F15" s="132">
        <v>1.9</v>
      </c>
      <c r="G15" s="132">
        <v>1.772</v>
      </c>
      <c r="H15" s="132">
        <v>20.79</v>
      </c>
      <c r="I15" s="132">
        <v>1.79</v>
      </c>
      <c r="J15" s="132">
        <v>1.58</v>
      </c>
      <c r="K15" s="132">
        <v>1.63</v>
      </c>
      <c r="L15" s="132">
        <v>1.71</v>
      </c>
      <c r="M15" s="132">
        <v>2.4900000000000002</v>
      </c>
      <c r="N15" s="132">
        <v>1.51</v>
      </c>
      <c r="O15" s="132">
        <v>2.66</v>
      </c>
      <c r="P15" s="132">
        <v>2.85</v>
      </c>
      <c r="Q15" s="132">
        <v>1.82</v>
      </c>
      <c r="R15" s="132">
        <v>1.766</v>
      </c>
      <c r="S15" s="132">
        <v>1.66</v>
      </c>
      <c r="T15" s="132">
        <v>0.01</v>
      </c>
      <c r="U15" s="132">
        <v>1.67</v>
      </c>
      <c r="V15" s="132">
        <v>2.76</v>
      </c>
      <c r="W15" s="132">
        <v>1.69</v>
      </c>
      <c r="X15" s="132">
        <v>2.0699999999999998</v>
      </c>
      <c r="Y15" s="132">
        <v>2.04</v>
      </c>
      <c r="Z15" s="132">
        <v>4.05</v>
      </c>
      <c r="AA15" s="132">
        <v>1.52</v>
      </c>
      <c r="AB15" s="132">
        <v>2.17</v>
      </c>
      <c r="AC15" s="132">
        <v>1.9</v>
      </c>
      <c r="AD15" s="172">
        <v>0.12</v>
      </c>
      <c r="AE15" s="132">
        <v>0.74</v>
      </c>
      <c r="AF15" s="132">
        <v>2.06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Z1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46.5703125" style="38" bestFit="1" customWidth="1"/>
    <col min="2" max="2" width="12.85546875" style="6" customWidth="1"/>
    <col min="3" max="5" width="12.85546875" style="38" customWidth="1"/>
    <col min="6" max="6" width="12.85546875" style="41" customWidth="1"/>
    <col min="7" max="7" width="12.85546875" style="71" customWidth="1"/>
    <col min="8" max="10" width="12.85546875" style="38" customWidth="1"/>
    <col min="11" max="11" width="12.85546875" style="41" customWidth="1"/>
    <col min="12" max="12" width="12.85546875" style="71" customWidth="1"/>
    <col min="13" max="16" width="12.85546875" style="38" customWidth="1"/>
    <col min="17" max="17" width="12.85546875" style="6" customWidth="1"/>
    <col min="18" max="20" width="12.85546875" style="38" customWidth="1"/>
    <col min="21" max="21" width="12.85546875" style="41" customWidth="1"/>
    <col min="22" max="22" width="12.85546875" style="6" customWidth="1"/>
    <col min="23" max="25" width="12.85546875" style="38" customWidth="1"/>
    <col min="26" max="26" width="12.85546875" style="41" customWidth="1"/>
    <col min="27" max="27" width="12.85546875" style="6" customWidth="1"/>
    <col min="28" max="30" width="12.85546875" style="38" customWidth="1"/>
    <col min="31" max="31" width="12.85546875" style="41" customWidth="1"/>
    <col min="32" max="35" width="12.85546875" style="38" customWidth="1"/>
    <col min="36" max="36" width="12.85546875" style="41" customWidth="1"/>
    <col min="37" max="37" width="12.85546875" style="6" customWidth="1"/>
    <col min="38" max="40" width="12.85546875" style="38" customWidth="1"/>
    <col min="41" max="41" width="12.85546875" style="41" customWidth="1"/>
    <col min="42" max="42" width="12.85546875" style="6" customWidth="1"/>
    <col min="43" max="45" width="12.85546875" style="38" customWidth="1"/>
    <col min="46" max="46" width="12.85546875" style="41" customWidth="1"/>
    <col min="47" max="47" width="12.85546875" style="6" customWidth="1"/>
    <col min="48" max="50" width="12.85546875" style="38" customWidth="1"/>
    <col min="51" max="51" width="12.85546875" style="41" customWidth="1"/>
    <col min="52" max="52" width="12.85546875" style="6" customWidth="1"/>
    <col min="53" max="55" width="12.85546875" style="38" customWidth="1"/>
    <col min="56" max="56" width="12.85546875" style="41" customWidth="1"/>
    <col min="57" max="57" width="12.85546875" style="6" customWidth="1"/>
    <col min="58" max="60" width="12.85546875" style="38" customWidth="1"/>
    <col min="61" max="61" width="12.85546875" style="41" customWidth="1"/>
    <col min="62" max="62" width="12.85546875" style="71" customWidth="1"/>
    <col min="63" max="65" width="12.85546875" style="38" customWidth="1"/>
    <col min="66" max="66" width="12.85546875" style="41" customWidth="1"/>
    <col min="67" max="67" width="12.85546875" style="6" customWidth="1"/>
    <col min="68" max="70" width="12.85546875" style="38" customWidth="1"/>
    <col min="71" max="71" width="12.85546875" style="41" customWidth="1"/>
    <col min="72" max="72" width="12.85546875" style="6" customWidth="1"/>
    <col min="73" max="75" width="12.85546875" style="38" customWidth="1"/>
    <col min="76" max="76" width="12.85546875" style="41" customWidth="1"/>
    <col min="77" max="77" width="12.85546875" style="71" customWidth="1"/>
    <col min="78" max="80" width="12.85546875" style="38" customWidth="1"/>
    <col min="81" max="81" width="12.85546875" style="41" customWidth="1"/>
    <col min="82" max="82" width="12.85546875" style="6" customWidth="1"/>
    <col min="83" max="85" width="12.85546875" style="38" customWidth="1"/>
    <col min="86" max="86" width="12.85546875" style="41" customWidth="1"/>
    <col min="87" max="87" width="12.85546875" style="6" customWidth="1"/>
    <col min="88" max="90" width="12.85546875" style="38" customWidth="1"/>
    <col min="91" max="91" width="12.85546875" style="41" customWidth="1"/>
    <col min="92" max="92" width="12.85546875" style="71" customWidth="1"/>
    <col min="93" max="96" width="12.85546875" style="38" customWidth="1"/>
    <col min="97" max="97" width="12.85546875" style="6" customWidth="1"/>
    <col min="98" max="100" width="12.85546875" style="38" customWidth="1"/>
    <col min="101" max="101" width="12.85546875" style="41" customWidth="1"/>
    <col min="102" max="102" width="12.85546875" style="71" customWidth="1"/>
    <col min="103" max="106" width="12.85546875" style="38" customWidth="1"/>
    <col min="107" max="107" width="12.85546875" style="6" customWidth="1"/>
    <col min="108" max="111" width="12.85546875" style="38" customWidth="1"/>
    <col min="112" max="112" width="12.85546875" style="6" customWidth="1"/>
    <col min="113" max="115" width="12.85546875" style="38" customWidth="1"/>
    <col min="116" max="116" width="12.85546875" style="41" customWidth="1"/>
    <col min="117" max="117" width="12.85546875" style="59" customWidth="1"/>
    <col min="118" max="121" width="12.85546875" style="41" customWidth="1"/>
    <col min="122" max="122" width="12.85546875" style="6" customWidth="1"/>
    <col min="123" max="126" width="12.85546875" style="38" customWidth="1"/>
    <col min="127" max="127" width="12.85546875" style="6" customWidth="1"/>
    <col min="128" max="130" width="12.85546875" style="38" customWidth="1"/>
    <col min="131" max="131" width="12.85546875" style="41" customWidth="1"/>
    <col min="132" max="132" width="12.85546875" style="6" customWidth="1"/>
    <col min="133" max="135" width="12.85546875" style="38" customWidth="1"/>
    <col min="136" max="136" width="12.85546875" style="41" customWidth="1"/>
    <col min="137" max="137" width="12.85546875" style="6" customWidth="1"/>
    <col min="138" max="140" width="12.85546875" style="38" customWidth="1"/>
    <col min="141" max="141" width="12.85546875" style="41" customWidth="1"/>
    <col min="142" max="145" width="12.85546875" style="38" customWidth="1"/>
    <col min="146" max="146" width="12.85546875" style="41" customWidth="1"/>
    <col min="147" max="147" width="12.85546875" style="6" customWidth="1"/>
    <col min="148" max="150" width="12.85546875" style="38" customWidth="1"/>
    <col min="151" max="151" width="12.85546875" style="41" customWidth="1"/>
    <col min="152" max="152" width="12.85546875" style="6" customWidth="1"/>
    <col min="153" max="155" width="12.85546875" style="38" customWidth="1"/>
    <col min="156" max="156" width="12.85546875" style="41" customWidth="1"/>
    <col min="157" max="16384" width="9.140625" style="38"/>
  </cols>
  <sheetData>
    <row r="1" spans="1:156" ht="53.25" x14ac:dyDescent="0.25">
      <c r="A1" s="51" t="s">
        <v>278</v>
      </c>
    </row>
    <row r="2" spans="1:156" x14ac:dyDescent="0.25">
      <c r="A2" s="39" t="s">
        <v>0</v>
      </c>
      <c r="B2" s="160" t="s">
        <v>1</v>
      </c>
      <c r="C2" s="160"/>
      <c r="D2" s="160"/>
      <c r="E2" s="160"/>
      <c r="F2" s="160"/>
      <c r="G2" s="160" t="s">
        <v>233</v>
      </c>
      <c r="H2" s="160"/>
      <c r="I2" s="160"/>
      <c r="J2" s="160"/>
      <c r="K2" s="160"/>
      <c r="L2" s="160" t="s">
        <v>2</v>
      </c>
      <c r="M2" s="160"/>
      <c r="N2" s="160"/>
      <c r="O2" s="160"/>
      <c r="P2" s="160"/>
      <c r="Q2" s="160" t="s">
        <v>3</v>
      </c>
      <c r="R2" s="160"/>
      <c r="S2" s="160"/>
      <c r="T2" s="160"/>
      <c r="U2" s="160"/>
      <c r="V2" s="160" t="s">
        <v>242</v>
      </c>
      <c r="W2" s="160"/>
      <c r="X2" s="160"/>
      <c r="Y2" s="160"/>
      <c r="Z2" s="160"/>
      <c r="AA2" s="161" t="s">
        <v>234</v>
      </c>
      <c r="AB2" s="162"/>
      <c r="AC2" s="162"/>
      <c r="AD2" s="162"/>
      <c r="AE2" s="163"/>
      <c r="AF2" s="161" t="s">
        <v>5</v>
      </c>
      <c r="AG2" s="162"/>
      <c r="AH2" s="162"/>
      <c r="AI2" s="162"/>
      <c r="AJ2" s="163"/>
      <c r="AK2" s="161" t="s">
        <v>4</v>
      </c>
      <c r="AL2" s="162"/>
      <c r="AM2" s="162"/>
      <c r="AN2" s="162"/>
      <c r="AO2" s="163"/>
      <c r="AP2" s="161" t="s">
        <v>6</v>
      </c>
      <c r="AQ2" s="162"/>
      <c r="AR2" s="162"/>
      <c r="AS2" s="162"/>
      <c r="AT2" s="163"/>
      <c r="AU2" s="161" t="s">
        <v>254</v>
      </c>
      <c r="AV2" s="162"/>
      <c r="AW2" s="162"/>
      <c r="AX2" s="162"/>
      <c r="AY2" s="163"/>
      <c r="AZ2" s="161" t="s">
        <v>7</v>
      </c>
      <c r="BA2" s="162"/>
      <c r="BB2" s="162"/>
      <c r="BC2" s="162"/>
      <c r="BD2" s="163"/>
      <c r="BE2" s="161" t="s">
        <v>8</v>
      </c>
      <c r="BF2" s="162"/>
      <c r="BG2" s="162"/>
      <c r="BH2" s="162"/>
      <c r="BI2" s="163"/>
      <c r="BJ2" s="161" t="s">
        <v>9</v>
      </c>
      <c r="BK2" s="162"/>
      <c r="BL2" s="162"/>
      <c r="BM2" s="162"/>
      <c r="BN2" s="163"/>
      <c r="BO2" s="161" t="s">
        <v>241</v>
      </c>
      <c r="BP2" s="162"/>
      <c r="BQ2" s="162"/>
      <c r="BR2" s="162"/>
      <c r="BS2" s="163"/>
      <c r="BT2" s="161" t="s">
        <v>10</v>
      </c>
      <c r="BU2" s="162"/>
      <c r="BV2" s="162"/>
      <c r="BW2" s="162"/>
      <c r="BX2" s="163"/>
      <c r="BY2" s="161" t="s">
        <v>11</v>
      </c>
      <c r="BZ2" s="162"/>
      <c r="CA2" s="162"/>
      <c r="CB2" s="162"/>
      <c r="CC2" s="163"/>
      <c r="CD2" s="161" t="s">
        <v>235</v>
      </c>
      <c r="CE2" s="162"/>
      <c r="CF2" s="162"/>
      <c r="CG2" s="162"/>
      <c r="CH2" s="163"/>
      <c r="CI2" s="161" t="s">
        <v>253</v>
      </c>
      <c r="CJ2" s="162"/>
      <c r="CK2" s="162"/>
      <c r="CL2" s="162"/>
      <c r="CM2" s="163"/>
      <c r="CN2" s="161" t="s">
        <v>12</v>
      </c>
      <c r="CO2" s="162"/>
      <c r="CP2" s="162"/>
      <c r="CQ2" s="162"/>
      <c r="CR2" s="163"/>
      <c r="CS2" s="161" t="s">
        <v>236</v>
      </c>
      <c r="CT2" s="162"/>
      <c r="CU2" s="162"/>
      <c r="CV2" s="162"/>
      <c r="CW2" s="163"/>
      <c r="CX2" s="161" t="s">
        <v>237</v>
      </c>
      <c r="CY2" s="162"/>
      <c r="CZ2" s="162"/>
      <c r="DA2" s="162"/>
      <c r="DB2" s="163"/>
      <c r="DC2" s="161" t="s">
        <v>240</v>
      </c>
      <c r="DD2" s="162"/>
      <c r="DE2" s="162"/>
      <c r="DF2" s="162"/>
      <c r="DG2" s="163"/>
      <c r="DH2" s="160" t="s">
        <v>13</v>
      </c>
      <c r="DI2" s="160"/>
      <c r="DJ2" s="160"/>
      <c r="DK2" s="160"/>
      <c r="DL2" s="160"/>
      <c r="DM2" s="160" t="s">
        <v>14</v>
      </c>
      <c r="DN2" s="160"/>
      <c r="DO2" s="160"/>
      <c r="DP2" s="160"/>
      <c r="DQ2" s="160"/>
      <c r="DR2" s="160" t="s">
        <v>15</v>
      </c>
      <c r="DS2" s="160"/>
      <c r="DT2" s="160"/>
      <c r="DU2" s="160"/>
      <c r="DV2" s="160"/>
      <c r="DW2" s="160" t="s">
        <v>16</v>
      </c>
      <c r="DX2" s="160"/>
      <c r="DY2" s="160"/>
      <c r="DZ2" s="160"/>
      <c r="EA2" s="160"/>
      <c r="EB2" s="160" t="s">
        <v>17</v>
      </c>
      <c r="EC2" s="160"/>
      <c r="ED2" s="160"/>
      <c r="EE2" s="160"/>
      <c r="EF2" s="160"/>
      <c r="EG2" s="160" t="s">
        <v>238</v>
      </c>
      <c r="EH2" s="160"/>
      <c r="EI2" s="160"/>
      <c r="EJ2" s="160"/>
      <c r="EK2" s="160"/>
      <c r="EL2" s="160" t="s">
        <v>239</v>
      </c>
      <c r="EM2" s="160"/>
      <c r="EN2" s="160"/>
      <c r="EO2" s="160"/>
      <c r="EP2" s="160"/>
      <c r="EQ2" s="160" t="s">
        <v>18</v>
      </c>
      <c r="ER2" s="160"/>
      <c r="ES2" s="160"/>
      <c r="ET2" s="160"/>
      <c r="EU2" s="160"/>
      <c r="EV2" s="160" t="s">
        <v>19</v>
      </c>
      <c r="EW2" s="160"/>
      <c r="EX2" s="160"/>
      <c r="EY2" s="160"/>
      <c r="EZ2" s="160"/>
    </row>
    <row r="3" spans="1:156" ht="15" customHeight="1" x14ac:dyDescent="0.25">
      <c r="A3" s="158" t="s">
        <v>146</v>
      </c>
      <c r="B3" s="157" t="s">
        <v>140</v>
      </c>
      <c r="C3" s="158" t="s">
        <v>141</v>
      </c>
      <c r="D3" s="158"/>
      <c r="E3" s="158"/>
      <c r="F3" s="159" t="s">
        <v>142</v>
      </c>
      <c r="G3" s="157" t="s">
        <v>140</v>
      </c>
      <c r="H3" s="158" t="s">
        <v>141</v>
      </c>
      <c r="I3" s="158"/>
      <c r="J3" s="158"/>
      <c r="K3" s="159" t="s">
        <v>142</v>
      </c>
      <c r="L3" s="157" t="s">
        <v>140</v>
      </c>
      <c r="M3" s="158" t="s">
        <v>141</v>
      </c>
      <c r="N3" s="158"/>
      <c r="O3" s="158"/>
      <c r="P3" s="158" t="s">
        <v>142</v>
      </c>
      <c r="Q3" s="157" t="s">
        <v>140</v>
      </c>
      <c r="R3" s="158" t="s">
        <v>141</v>
      </c>
      <c r="S3" s="158"/>
      <c r="T3" s="158"/>
      <c r="U3" s="159" t="s">
        <v>142</v>
      </c>
      <c r="V3" s="157" t="s">
        <v>140</v>
      </c>
      <c r="W3" s="158" t="s">
        <v>141</v>
      </c>
      <c r="X3" s="158"/>
      <c r="Y3" s="158"/>
      <c r="Z3" s="159" t="s">
        <v>142</v>
      </c>
      <c r="AA3" s="157" t="s">
        <v>140</v>
      </c>
      <c r="AB3" s="158" t="s">
        <v>141</v>
      </c>
      <c r="AC3" s="158"/>
      <c r="AD3" s="158"/>
      <c r="AE3" s="159" t="s">
        <v>142</v>
      </c>
      <c r="AF3" s="158" t="s">
        <v>140</v>
      </c>
      <c r="AG3" s="158" t="s">
        <v>141</v>
      </c>
      <c r="AH3" s="158"/>
      <c r="AI3" s="158"/>
      <c r="AJ3" s="159" t="s">
        <v>142</v>
      </c>
      <c r="AK3" s="157" t="s">
        <v>140</v>
      </c>
      <c r="AL3" s="158" t="s">
        <v>141</v>
      </c>
      <c r="AM3" s="158"/>
      <c r="AN3" s="158"/>
      <c r="AO3" s="159" t="s">
        <v>142</v>
      </c>
      <c r="AP3" s="157" t="s">
        <v>140</v>
      </c>
      <c r="AQ3" s="158" t="s">
        <v>141</v>
      </c>
      <c r="AR3" s="158"/>
      <c r="AS3" s="158"/>
      <c r="AT3" s="159" t="s">
        <v>142</v>
      </c>
      <c r="AU3" s="157" t="s">
        <v>140</v>
      </c>
      <c r="AV3" s="158" t="s">
        <v>141</v>
      </c>
      <c r="AW3" s="158"/>
      <c r="AX3" s="158"/>
      <c r="AY3" s="159" t="s">
        <v>142</v>
      </c>
      <c r="AZ3" s="157" t="s">
        <v>140</v>
      </c>
      <c r="BA3" s="158" t="s">
        <v>141</v>
      </c>
      <c r="BB3" s="158"/>
      <c r="BC3" s="158"/>
      <c r="BD3" s="159" t="s">
        <v>142</v>
      </c>
      <c r="BE3" s="157" t="s">
        <v>140</v>
      </c>
      <c r="BF3" s="158" t="s">
        <v>141</v>
      </c>
      <c r="BG3" s="158"/>
      <c r="BH3" s="158"/>
      <c r="BI3" s="159" t="s">
        <v>142</v>
      </c>
      <c r="BJ3" s="157" t="s">
        <v>140</v>
      </c>
      <c r="BK3" s="158" t="s">
        <v>141</v>
      </c>
      <c r="BL3" s="158"/>
      <c r="BM3" s="158"/>
      <c r="BN3" s="159" t="s">
        <v>142</v>
      </c>
      <c r="BO3" s="157" t="s">
        <v>140</v>
      </c>
      <c r="BP3" s="158" t="s">
        <v>141</v>
      </c>
      <c r="BQ3" s="158"/>
      <c r="BR3" s="158"/>
      <c r="BS3" s="159" t="s">
        <v>142</v>
      </c>
      <c r="BT3" s="157" t="s">
        <v>140</v>
      </c>
      <c r="BU3" s="158" t="s">
        <v>141</v>
      </c>
      <c r="BV3" s="158"/>
      <c r="BW3" s="158"/>
      <c r="BX3" s="159" t="s">
        <v>142</v>
      </c>
      <c r="BY3" s="157" t="s">
        <v>140</v>
      </c>
      <c r="BZ3" s="158" t="s">
        <v>141</v>
      </c>
      <c r="CA3" s="158"/>
      <c r="CB3" s="158"/>
      <c r="CC3" s="159" t="s">
        <v>142</v>
      </c>
      <c r="CD3" s="157" t="s">
        <v>140</v>
      </c>
      <c r="CE3" s="158" t="s">
        <v>141</v>
      </c>
      <c r="CF3" s="158"/>
      <c r="CG3" s="158"/>
      <c r="CH3" s="159" t="s">
        <v>142</v>
      </c>
      <c r="CI3" s="157" t="s">
        <v>140</v>
      </c>
      <c r="CJ3" s="158" t="s">
        <v>141</v>
      </c>
      <c r="CK3" s="158"/>
      <c r="CL3" s="158"/>
      <c r="CM3" s="159" t="s">
        <v>142</v>
      </c>
      <c r="CN3" s="157" t="s">
        <v>140</v>
      </c>
      <c r="CO3" s="158" t="s">
        <v>141</v>
      </c>
      <c r="CP3" s="158"/>
      <c r="CQ3" s="158"/>
      <c r="CR3" s="164" t="s">
        <v>142</v>
      </c>
      <c r="CS3" s="157" t="s">
        <v>140</v>
      </c>
      <c r="CT3" s="158" t="s">
        <v>141</v>
      </c>
      <c r="CU3" s="158"/>
      <c r="CV3" s="158"/>
      <c r="CW3" s="159" t="s">
        <v>142</v>
      </c>
      <c r="CX3" s="157" t="s">
        <v>140</v>
      </c>
      <c r="CY3" s="158" t="s">
        <v>141</v>
      </c>
      <c r="CZ3" s="158"/>
      <c r="DA3" s="158"/>
      <c r="DB3" s="164" t="s">
        <v>142</v>
      </c>
      <c r="DC3" s="157" t="s">
        <v>140</v>
      </c>
      <c r="DD3" s="158" t="s">
        <v>141</v>
      </c>
      <c r="DE3" s="158"/>
      <c r="DF3" s="158"/>
      <c r="DG3" s="164" t="s">
        <v>142</v>
      </c>
      <c r="DH3" s="157" t="s">
        <v>140</v>
      </c>
      <c r="DI3" s="158" t="s">
        <v>141</v>
      </c>
      <c r="DJ3" s="158"/>
      <c r="DK3" s="158"/>
      <c r="DL3" s="159" t="s">
        <v>142</v>
      </c>
      <c r="DM3" s="157" t="s">
        <v>140</v>
      </c>
      <c r="DN3" s="158" t="s">
        <v>141</v>
      </c>
      <c r="DO3" s="158"/>
      <c r="DP3" s="158"/>
      <c r="DQ3" s="159" t="s">
        <v>142</v>
      </c>
      <c r="DR3" s="157" t="s">
        <v>140</v>
      </c>
      <c r="DS3" s="158" t="s">
        <v>141</v>
      </c>
      <c r="DT3" s="158"/>
      <c r="DU3" s="158"/>
      <c r="DV3" s="164" t="s">
        <v>142</v>
      </c>
      <c r="DW3" s="157" t="s">
        <v>140</v>
      </c>
      <c r="DX3" s="158" t="s">
        <v>141</v>
      </c>
      <c r="DY3" s="158"/>
      <c r="DZ3" s="158"/>
      <c r="EA3" s="159" t="s">
        <v>142</v>
      </c>
      <c r="EB3" s="157" t="s">
        <v>140</v>
      </c>
      <c r="EC3" s="158" t="s">
        <v>141</v>
      </c>
      <c r="ED3" s="158"/>
      <c r="EE3" s="158"/>
      <c r="EF3" s="159" t="s">
        <v>142</v>
      </c>
      <c r="EG3" s="157" t="s">
        <v>140</v>
      </c>
      <c r="EH3" s="158" t="s">
        <v>141</v>
      </c>
      <c r="EI3" s="158"/>
      <c r="EJ3" s="158"/>
      <c r="EK3" s="159" t="s">
        <v>142</v>
      </c>
      <c r="EL3" s="158" t="s">
        <v>140</v>
      </c>
      <c r="EM3" s="158" t="s">
        <v>141</v>
      </c>
      <c r="EN3" s="158"/>
      <c r="EO3" s="158"/>
      <c r="EP3" s="159" t="s">
        <v>142</v>
      </c>
      <c r="EQ3" s="157" t="s">
        <v>140</v>
      </c>
      <c r="ER3" s="158" t="s">
        <v>141</v>
      </c>
      <c r="ES3" s="158"/>
      <c r="ET3" s="158"/>
      <c r="EU3" s="159" t="s">
        <v>142</v>
      </c>
      <c r="EV3" s="157" t="s">
        <v>140</v>
      </c>
      <c r="EW3" s="158" t="s">
        <v>141</v>
      </c>
      <c r="EX3" s="158"/>
      <c r="EY3" s="158"/>
      <c r="EZ3" s="159" t="s">
        <v>142</v>
      </c>
    </row>
    <row r="4" spans="1:156" ht="30" x14ac:dyDescent="0.25">
      <c r="A4" s="158"/>
      <c r="B4" s="157"/>
      <c r="C4" s="16" t="s">
        <v>143</v>
      </c>
      <c r="D4" s="16" t="s">
        <v>144</v>
      </c>
      <c r="E4" s="16" t="s">
        <v>145</v>
      </c>
      <c r="F4" s="159"/>
      <c r="G4" s="157"/>
      <c r="H4" s="16" t="s">
        <v>143</v>
      </c>
      <c r="I4" s="16" t="s">
        <v>144</v>
      </c>
      <c r="J4" s="16" t="s">
        <v>145</v>
      </c>
      <c r="K4" s="159"/>
      <c r="L4" s="157"/>
      <c r="M4" s="16" t="s">
        <v>143</v>
      </c>
      <c r="N4" s="16" t="s">
        <v>144</v>
      </c>
      <c r="O4" s="16" t="s">
        <v>145</v>
      </c>
      <c r="P4" s="158"/>
      <c r="Q4" s="157"/>
      <c r="R4" s="16" t="s">
        <v>143</v>
      </c>
      <c r="S4" s="16" t="s">
        <v>144</v>
      </c>
      <c r="T4" s="16" t="s">
        <v>145</v>
      </c>
      <c r="U4" s="159"/>
      <c r="V4" s="157"/>
      <c r="W4" s="16" t="s">
        <v>143</v>
      </c>
      <c r="X4" s="16" t="s">
        <v>144</v>
      </c>
      <c r="Y4" s="16" t="s">
        <v>145</v>
      </c>
      <c r="Z4" s="159"/>
      <c r="AA4" s="157"/>
      <c r="AB4" s="16" t="s">
        <v>143</v>
      </c>
      <c r="AC4" s="16" t="s">
        <v>144</v>
      </c>
      <c r="AD4" s="16" t="s">
        <v>145</v>
      </c>
      <c r="AE4" s="159"/>
      <c r="AF4" s="158"/>
      <c r="AG4" s="16" t="s">
        <v>143</v>
      </c>
      <c r="AH4" s="16" t="s">
        <v>144</v>
      </c>
      <c r="AI4" s="16" t="s">
        <v>145</v>
      </c>
      <c r="AJ4" s="159"/>
      <c r="AK4" s="157"/>
      <c r="AL4" s="16" t="s">
        <v>143</v>
      </c>
      <c r="AM4" s="16" t="s">
        <v>144</v>
      </c>
      <c r="AN4" s="16" t="s">
        <v>145</v>
      </c>
      <c r="AO4" s="159"/>
      <c r="AP4" s="157"/>
      <c r="AQ4" s="16" t="s">
        <v>143</v>
      </c>
      <c r="AR4" s="16" t="s">
        <v>144</v>
      </c>
      <c r="AS4" s="16" t="s">
        <v>145</v>
      </c>
      <c r="AT4" s="159"/>
      <c r="AU4" s="157"/>
      <c r="AV4" s="16" t="s">
        <v>143</v>
      </c>
      <c r="AW4" s="16" t="s">
        <v>144</v>
      </c>
      <c r="AX4" s="16" t="s">
        <v>145</v>
      </c>
      <c r="AY4" s="159"/>
      <c r="AZ4" s="157"/>
      <c r="BA4" s="16" t="s">
        <v>143</v>
      </c>
      <c r="BB4" s="16" t="s">
        <v>144</v>
      </c>
      <c r="BC4" s="16" t="s">
        <v>145</v>
      </c>
      <c r="BD4" s="159"/>
      <c r="BE4" s="157"/>
      <c r="BF4" s="16" t="s">
        <v>143</v>
      </c>
      <c r="BG4" s="16" t="s">
        <v>144</v>
      </c>
      <c r="BH4" s="16" t="s">
        <v>145</v>
      </c>
      <c r="BI4" s="159"/>
      <c r="BJ4" s="157"/>
      <c r="BK4" s="16" t="s">
        <v>143</v>
      </c>
      <c r="BL4" s="16" t="s">
        <v>144</v>
      </c>
      <c r="BM4" s="16" t="s">
        <v>145</v>
      </c>
      <c r="BN4" s="159"/>
      <c r="BO4" s="157"/>
      <c r="BP4" s="16" t="s">
        <v>143</v>
      </c>
      <c r="BQ4" s="16" t="s">
        <v>144</v>
      </c>
      <c r="BR4" s="16" t="s">
        <v>145</v>
      </c>
      <c r="BS4" s="159"/>
      <c r="BT4" s="157"/>
      <c r="BU4" s="16" t="s">
        <v>143</v>
      </c>
      <c r="BV4" s="16" t="s">
        <v>144</v>
      </c>
      <c r="BW4" s="16" t="s">
        <v>145</v>
      </c>
      <c r="BX4" s="159"/>
      <c r="BY4" s="157"/>
      <c r="BZ4" s="16" t="s">
        <v>143</v>
      </c>
      <c r="CA4" s="16" t="s">
        <v>144</v>
      </c>
      <c r="CB4" s="16" t="s">
        <v>145</v>
      </c>
      <c r="CC4" s="159"/>
      <c r="CD4" s="157"/>
      <c r="CE4" s="16" t="s">
        <v>143</v>
      </c>
      <c r="CF4" s="16" t="s">
        <v>144</v>
      </c>
      <c r="CG4" s="16" t="s">
        <v>145</v>
      </c>
      <c r="CH4" s="159"/>
      <c r="CI4" s="157"/>
      <c r="CJ4" s="16" t="s">
        <v>143</v>
      </c>
      <c r="CK4" s="16" t="s">
        <v>144</v>
      </c>
      <c r="CL4" s="16" t="s">
        <v>145</v>
      </c>
      <c r="CM4" s="159"/>
      <c r="CN4" s="157"/>
      <c r="CO4" s="16" t="s">
        <v>143</v>
      </c>
      <c r="CP4" s="16" t="s">
        <v>144</v>
      </c>
      <c r="CQ4" s="16" t="s">
        <v>145</v>
      </c>
      <c r="CR4" s="164"/>
      <c r="CS4" s="157"/>
      <c r="CT4" s="16" t="s">
        <v>143</v>
      </c>
      <c r="CU4" s="16" t="s">
        <v>144</v>
      </c>
      <c r="CV4" s="16" t="s">
        <v>145</v>
      </c>
      <c r="CW4" s="159"/>
      <c r="CX4" s="157"/>
      <c r="CY4" s="16" t="s">
        <v>143</v>
      </c>
      <c r="CZ4" s="16" t="s">
        <v>144</v>
      </c>
      <c r="DA4" s="16" t="s">
        <v>145</v>
      </c>
      <c r="DB4" s="164"/>
      <c r="DC4" s="157"/>
      <c r="DD4" s="16" t="s">
        <v>143</v>
      </c>
      <c r="DE4" s="16" t="s">
        <v>144</v>
      </c>
      <c r="DF4" s="16" t="s">
        <v>145</v>
      </c>
      <c r="DG4" s="164"/>
      <c r="DH4" s="157"/>
      <c r="DI4" s="16" t="s">
        <v>143</v>
      </c>
      <c r="DJ4" s="16" t="s">
        <v>144</v>
      </c>
      <c r="DK4" s="16" t="s">
        <v>145</v>
      </c>
      <c r="DL4" s="159"/>
      <c r="DM4" s="157"/>
      <c r="DN4" s="16" t="s">
        <v>143</v>
      </c>
      <c r="DO4" s="16" t="s">
        <v>144</v>
      </c>
      <c r="DP4" s="16" t="s">
        <v>145</v>
      </c>
      <c r="DQ4" s="159"/>
      <c r="DR4" s="157"/>
      <c r="DS4" s="16" t="s">
        <v>143</v>
      </c>
      <c r="DT4" s="16" t="s">
        <v>144</v>
      </c>
      <c r="DU4" s="16" t="s">
        <v>145</v>
      </c>
      <c r="DV4" s="164"/>
      <c r="DW4" s="157"/>
      <c r="DX4" s="16" t="s">
        <v>143</v>
      </c>
      <c r="DY4" s="16" t="s">
        <v>144</v>
      </c>
      <c r="DZ4" s="16" t="s">
        <v>145</v>
      </c>
      <c r="EA4" s="159"/>
      <c r="EB4" s="157"/>
      <c r="EC4" s="16" t="s">
        <v>143</v>
      </c>
      <c r="ED4" s="16" t="s">
        <v>144</v>
      </c>
      <c r="EE4" s="16" t="s">
        <v>145</v>
      </c>
      <c r="EF4" s="159"/>
      <c r="EG4" s="157"/>
      <c r="EH4" s="16" t="s">
        <v>143</v>
      </c>
      <c r="EI4" s="16" t="s">
        <v>144</v>
      </c>
      <c r="EJ4" s="16" t="s">
        <v>145</v>
      </c>
      <c r="EK4" s="159"/>
      <c r="EL4" s="158"/>
      <c r="EM4" s="16" t="s">
        <v>143</v>
      </c>
      <c r="EN4" s="16" t="s">
        <v>144</v>
      </c>
      <c r="EO4" s="16" t="s">
        <v>145</v>
      </c>
      <c r="EP4" s="159"/>
      <c r="EQ4" s="157"/>
      <c r="ER4" s="16" t="s">
        <v>143</v>
      </c>
      <c r="ES4" s="16" t="s">
        <v>144</v>
      </c>
      <c r="ET4" s="16" t="s">
        <v>145</v>
      </c>
      <c r="EU4" s="159"/>
      <c r="EV4" s="157"/>
      <c r="EW4" s="16" t="s">
        <v>143</v>
      </c>
      <c r="EX4" s="16" t="s">
        <v>144</v>
      </c>
      <c r="EY4" s="16" t="s">
        <v>145</v>
      </c>
      <c r="EZ4" s="159"/>
    </row>
    <row r="5" spans="1:156" x14ac:dyDescent="0.25">
      <c r="A5" s="111" t="s">
        <v>270</v>
      </c>
      <c r="B5" s="110"/>
      <c r="C5" s="16"/>
      <c r="D5" s="16"/>
      <c r="E5" s="16"/>
      <c r="F5" s="112"/>
      <c r="G5" s="110"/>
      <c r="H5" s="16"/>
      <c r="I5" s="16"/>
      <c r="J5" s="16"/>
      <c r="K5" s="112"/>
      <c r="L5" s="110"/>
      <c r="M5" s="16"/>
      <c r="N5" s="16"/>
      <c r="O5" s="16"/>
      <c r="P5" s="111"/>
      <c r="Q5" s="110"/>
      <c r="R5" s="16"/>
      <c r="S5" s="16"/>
      <c r="T5" s="16"/>
      <c r="U5" s="112"/>
      <c r="V5" s="110"/>
      <c r="W5" s="16"/>
      <c r="X5" s="16"/>
      <c r="Y5" s="16"/>
      <c r="Z5" s="112"/>
      <c r="AA5" s="110"/>
      <c r="AB5" s="16"/>
      <c r="AC5" s="16"/>
      <c r="AD5" s="16"/>
      <c r="AE5" s="112"/>
      <c r="AF5" s="111"/>
      <c r="AG5" s="16"/>
      <c r="AH5" s="16"/>
      <c r="AI5" s="16"/>
      <c r="AJ5" s="112"/>
      <c r="AK5" s="110"/>
      <c r="AL5" s="16"/>
      <c r="AM5" s="16"/>
      <c r="AN5" s="16"/>
      <c r="AO5" s="112"/>
      <c r="AP5" s="110"/>
      <c r="AQ5" s="16"/>
      <c r="AR5" s="16"/>
      <c r="AS5" s="16"/>
      <c r="AT5" s="112"/>
      <c r="AU5" s="110"/>
      <c r="AV5" s="16"/>
      <c r="AW5" s="16"/>
      <c r="AX5" s="16"/>
      <c r="AY5" s="112"/>
      <c r="AZ5" s="110"/>
      <c r="BA5" s="16"/>
      <c r="BB5" s="16"/>
      <c r="BC5" s="16"/>
      <c r="BD5" s="112"/>
      <c r="BE5" s="110"/>
      <c r="BF5" s="16"/>
      <c r="BG5" s="16"/>
      <c r="BH5" s="16"/>
      <c r="BI5" s="112"/>
      <c r="BJ5" s="110"/>
      <c r="BK5" s="16"/>
      <c r="BL5" s="16"/>
      <c r="BM5" s="16"/>
      <c r="BN5" s="112"/>
      <c r="BO5" s="110"/>
      <c r="BP5" s="16"/>
      <c r="BQ5" s="16"/>
      <c r="BR5" s="16"/>
      <c r="BS5" s="112"/>
      <c r="BT5" s="110"/>
      <c r="BU5" s="16"/>
      <c r="BV5" s="16"/>
      <c r="BW5" s="16"/>
      <c r="BX5" s="112"/>
      <c r="BY5" s="110"/>
      <c r="BZ5" s="16"/>
      <c r="CA5" s="16"/>
      <c r="CB5" s="16"/>
      <c r="CC5" s="112"/>
      <c r="CD5" s="110"/>
      <c r="CE5" s="16"/>
      <c r="CF5" s="16"/>
      <c r="CG5" s="16"/>
      <c r="CH5" s="112"/>
      <c r="CI5" s="110"/>
      <c r="CJ5" s="16"/>
      <c r="CK5" s="16"/>
      <c r="CL5" s="16"/>
      <c r="CM5" s="112"/>
      <c r="CN5" s="110"/>
      <c r="CO5" s="16"/>
      <c r="CP5" s="16"/>
      <c r="CQ5" s="16"/>
      <c r="CR5" s="113"/>
      <c r="CS5" s="110"/>
      <c r="CT5" s="16"/>
      <c r="CU5" s="16"/>
      <c r="CV5" s="16"/>
      <c r="CW5" s="112"/>
      <c r="CX5" s="110"/>
      <c r="CY5" s="16"/>
      <c r="CZ5" s="16"/>
      <c r="DA5" s="16"/>
      <c r="DB5" s="113"/>
      <c r="DC5" s="110"/>
      <c r="DD5" s="16"/>
      <c r="DE5" s="16"/>
      <c r="DF5" s="16"/>
      <c r="DG5" s="113"/>
      <c r="DH5" s="110"/>
      <c r="DI5" s="16"/>
      <c r="DJ5" s="16"/>
      <c r="DK5" s="16"/>
      <c r="DL5" s="112"/>
      <c r="DM5" s="110"/>
      <c r="DN5" s="16"/>
      <c r="DO5" s="16"/>
      <c r="DP5" s="16"/>
      <c r="DQ5" s="112"/>
      <c r="DR5" s="110"/>
      <c r="DS5" s="16"/>
      <c r="DT5" s="16"/>
      <c r="DU5" s="16"/>
      <c r="DV5" s="113"/>
      <c r="DW5" s="110"/>
      <c r="DX5" s="16"/>
      <c r="DY5" s="16"/>
      <c r="DZ5" s="16"/>
      <c r="EA5" s="112"/>
      <c r="EB5" s="110"/>
      <c r="EC5" s="16"/>
      <c r="ED5" s="16"/>
      <c r="EE5" s="16"/>
      <c r="EF5" s="112"/>
      <c r="EG5" s="110"/>
      <c r="EH5" s="16"/>
      <c r="EI5" s="16"/>
      <c r="EJ5" s="16"/>
      <c r="EK5" s="112"/>
      <c r="EL5" s="111"/>
      <c r="EM5" s="16"/>
      <c r="EN5" s="16"/>
      <c r="EO5" s="16"/>
      <c r="EP5" s="112"/>
      <c r="EQ5" s="110"/>
      <c r="ER5" s="16"/>
      <c r="ES5" s="16"/>
      <c r="ET5" s="16"/>
      <c r="EU5" s="112"/>
      <c r="EV5" s="110"/>
      <c r="EW5" s="16"/>
      <c r="EX5" s="16"/>
      <c r="EY5" s="16"/>
      <c r="EZ5" s="112"/>
    </row>
    <row r="6" spans="1:156" x14ac:dyDescent="0.25">
      <c r="A6" s="17" t="s">
        <v>147</v>
      </c>
      <c r="B6" s="76"/>
      <c r="C6" s="77"/>
      <c r="D6" s="77"/>
      <c r="E6" s="17"/>
      <c r="F6" s="35"/>
      <c r="G6" s="9"/>
      <c r="H6" s="17"/>
      <c r="I6" s="17"/>
      <c r="J6" s="17"/>
      <c r="K6" s="35"/>
      <c r="L6" s="9"/>
      <c r="M6" s="17"/>
      <c r="N6" s="17"/>
      <c r="O6" s="17"/>
      <c r="P6" s="17"/>
      <c r="Q6" s="9"/>
      <c r="R6" s="17"/>
      <c r="S6" s="17"/>
      <c r="T6" s="17"/>
      <c r="U6" s="35"/>
      <c r="V6" s="9"/>
      <c r="W6" s="17"/>
      <c r="X6" s="17"/>
      <c r="Y6" s="17"/>
      <c r="Z6" s="35"/>
      <c r="AA6" s="9"/>
      <c r="AB6" s="17"/>
      <c r="AC6" s="17"/>
      <c r="AD6" s="17"/>
      <c r="AE6" s="35"/>
      <c r="AF6" s="9"/>
      <c r="AG6" s="17"/>
      <c r="AH6" s="17"/>
      <c r="AI6" s="17"/>
      <c r="AJ6" s="35"/>
      <c r="AK6" s="9"/>
      <c r="AL6" s="17"/>
      <c r="AM6" s="17"/>
      <c r="AN6" s="17"/>
      <c r="AO6" s="35"/>
      <c r="AP6" s="76"/>
      <c r="AQ6" s="17"/>
      <c r="AR6" s="17"/>
      <c r="AS6" s="76"/>
      <c r="AT6" s="35"/>
      <c r="AU6" s="9"/>
      <c r="AV6" s="17"/>
      <c r="AW6" s="17"/>
      <c r="AX6" s="17"/>
      <c r="AY6" s="35"/>
      <c r="AZ6" s="9"/>
      <c r="BA6" s="17"/>
      <c r="BB6" s="17"/>
      <c r="BC6" s="17"/>
      <c r="BD6" s="35"/>
      <c r="BE6" s="9"/>
      <c r="BF6" s="17"/>
      <c r="BG6" s="17"/>
      <c r="BH6" s="17"/>
      <c r="BI6" s="35"/>
      <c r="BJ6" s="9"/>
      <c r="BK6" s="17"/>
      <c r="BL6" s="17"/>
      <c r="BM6" s="17"/>
      <c r="BN6" s="35"/>
      <c r="BO6" s="9"/>
      <c r="BP6" s="17"/>
      <c r="BQ6" s="17"/>
      <c r="BR6" s="17"/>
      <c r="BS6" s="35"/>
      <c r="BT6" s="9"/>
      <c r="BU6" s="17"/>
      <c r="BV6" s="17"/>
      <c r="BW6" s="17"/>
      <c r="BX6" s="35"/>
      <c r="BY6" s="9"/>
      <c r="BZ6" s="17"/>
      <c r="CA6" s="17"/>
      <c r="CB6" s="17"/>
      <c r="CC6" s="35"/>
      <c r="CD6" s="9"/>
      <c r="CE6" s="17"/>
      <c r="CF6" s="17"/>
      <c r="CG6" s="17"/>
      <c r="CH6" s="35"/>
      <c r="CI6" s="9"/>
      <c r="CJ6" s="17"/>
      <c r="CK6" s="17"/>
      <c r="CL6" s="17"/>
      <c r="CM6" s="35"/>
      <c r="CN6" s="9"/>
      <c r="CO6" s="17"/>
      <c r="CP6" s="17"/>
      <c r="CQ6" s="17"/>
      <c r="CR6" s="17"/>
      <c r="CS6" s="9"/>
      <c r="CT6" s="17"/>
      <c r="CU6" s="17"/>
      <c r="CV6" s="17"/>
      <c r="CW6" s="35"/>
      <c r="CX6" s="9"/>
      <c r="CY6" s="17"/>
      <c r="CZ6" s="17"/>
      <c r="DA6" s="17"/>
      <c r="DB6" s="35"/>
      <c r="DC6" s="9"/>
      <c r="DD6" s="17"/>
      <c r="DE6" s="17"/>
      <c r="DF6" s="17"/>
      <c r="DG6" s="17"/>
      <c r="DH6" s="9"/>
      <c r="DI6" s="17"/>
      <c r="DJ6" s="17"/>
      <c r="DK6" s="17"/>
      <c r="DL6" s="35"/>
      <c r="DM6" s="60"/>
      <c r="DN6" s="36"/>
      <c r="DO6" s="35"/>
      <c r="DP6" s="35"/>
      <c r="DQ6" s="35"/>
      <c r="DR6" s="9"/>
      <c r="DS6" s="17"/>
      <c r="DT6" s="17"/>
      <c r="DU6" s="17"/>
      <c r="DV6" s="17"/>
      <c r="DW6" s="9"/>
      <c r="DX6" s="17"/>
      <c r="DY6" s="17"/>
      <c r="DZ6" s="17"/>
      <c r="EA6" s="35"/>
      <c r="EB6" s="9"/>
      <c r="EC6" s="17"/>
      <c r="ED6" s="17"/>
      <c r="EE6" s="17"/>
      <c r="EF6" s="35"/>
      <c r="EG6" s="76"/>
      <c r="EH6" s="77"/>
      <c r="EI6" s="17"/>
      <c r="EJ6" s="77"/>
      <c r="EK6" s="35"/>
      <c r="EL6" s="17"/>
      <c r="EM6" s="17"/>
      <c r="EN6" s="17"/>
      <c r="EO6" s="17"/>
      <c r="EP6" s="35"/>
      <c r="EQ6" s="9">
        <v>4</v>
      </c>
      <c r="ER6" s="92">
        <v>107</v>
      </c>
      <c r="ES6" s="92">
        <v>9</v>
      </c>
      <c r="ET6" s="92">
        <v>60</v>
      </c>
      <c r="EU6" s="35">
        <v>1.2999999999999999E-3</v>
      </c>
      <c r="EV6" s="9"/>
      <c r="EW6" s="17"/>
      <c r="EX6" s="17"/>
      <c r="EY6" s="17"/>
      <c r="EZ6" s="35"/>
    </row>
    <row r="7" spans="1:156" x14ac:dyDescent="0.25">
      <c r="A7" s="17" t="s">
        <v>148</v>
      </c>
      <c r="B7" s="76">
        <v>1</v>
      </c>
      <c r="C7" s="17"/>
      <c r="D7" s="77"/>
      <c r="E7" s="77"/>
      <c r="F7" s="35"/>
      <c r="G7" s="9"/>
      <c r="H7" s="17"/>
      <c r="I7" s="17"/>
      <c r="J7" s="17"/>
      <c r="K7" s="35"/>
      <c r="L7" s="92">
        <v>7</v>
      </c>
      <c r="M7" s="91">
        <v>4152.83</v>
      </c>
      <c r="N7" s="91">
        <v>880.08</v>
      </c>
      <c r="O7" s="36"/>
      <c r="P7" s="35">
        <v>1.21E-2</v>
      </c>
      <c r="Q7" s="76">
        <v>30</v>
      </c>
      <c r="R7" s="91">
        <v>2703.23</v>
      </c>
      <c r="S7">
        <v>131.06</v>
      </c>
      <c r="T7" s="91">
        <v>30331.73</v>
      </c>
      <c r="U7" s="34">
        <v>8.6699999999999999E-2</v>
      </c>
      <c r="V7" s="92">
        <v>1</v>
      </c>
      <c r="W7" s="92">
        <v>143</v>
      </c>
      <c r="X7" s="92"/>
      <c r="Y7" s="92"/>
      <c r="Z7" s="35">
        <v>4.0000000000000001E-3</v>
      </c>
      <c r="AA7" s="92">
        <v>3</v>
      </c>
      <c r="AB7" s="91">
        <v>1125</v>
      </c>
      <c r="AC7" s="91">
        <v>63</v>
      </c>
      <c r="AD7" s="17"/>
      <c r="AE7" s="35">
        <v>2.1100000000000001E-2</v>
      </c>
      <c r="AF7" s="76"/>
      <c r="AG7" s="77"/>
      <c r="AH7" s="17"/>
      <c r="AI7" s="17"/>
      <c r="AJ7" s="35"/>
      <c r="AK7" s="76"/>
      <c r="AL7" s="77"/>
      <c r="AM7" s="77"/>
      <c r="AN7" s="77"/>
      <c r="AO7" s="35"/>
      <c r="AP7" s="92">
        <v>2</v>
      </c>
      <c r="AQ7" s="92">
        <v>2281</v>
      </c>
      <c r="AR7" s="92">
        <v>291</v>
      </c>
      <c r="AS7" s="92">
        <v>12</v>
      </c>
      <c r="AT7" s="35">
        <v>3.7199999999999997E-2</v>
      </c>
      <c r="AU7" s="92">
        <v>2</v>
      </c>
      <c r="AV7" s="91">
        <v>10604</v>
      </c>
      <c r="AW7" s="91">
        <v>-44</v>
      </c>
      <c r="AX7" s="91">
        <v>20</v>
      </c>
      <c r="AY7" s="35">
        <v>0.21249999999999999</v>
      </c>
      <c r="AZ7" s="92">
        <v>16</v>
      </c>
      <c r="BA7" s="92">
        <v>983</v>
      </c>
      <c r="BB7" s="92">
        <v>105</v>
      </c>
      <c r="BC7" s="92">
        <v>1048</v>
      </c>
      <c r="BD7" s="35">
        <v>6.1999999999999998E-3</v>
      </c>
      <c r="BE7" s="92">
        <v>37</v>
      </c>
      <c r="BF7" s="92">
        <v>5499</v>
      </c>
      <c r="BG7" s="92">
        <v>192</v>
      </c>
      <c r="BH7" s="92">
        <v>-293</v>
      </c>
      <c r="BI7" s="117">
        <v>0.04</v>
      </c>
      <c r="BJ7" s="9"/>
      <c r="BK7" s="17"/>
      <c r="BL7" s="17"/>
      <c r="BM7" s="17"/>
      <c r="BN7" s="35"/>
      <c r="BO7" s="76"/>
      <c r="BP7" s="77"/>
      <c r="BQ7" s="77"/>
      <c r="BR7" s="77"/>
      <c r="BS7" s="35"/>
      <c r="BT7" s="92">
        <v>3</v>
      </c>
      <c r="BU7" s="91">
        <v>5.8</v>
      </c>
      <c r="BV7" s="91">
        <v>18.02</v>
      </c>
      <c r="BW7" s="17"/>
      <c r="BX7" s="35">
        <v>1.8E-3</v>
      </c>
      <c r="BY7" s="92">
        <v>5</v>
      </c>
      <c r="BZ7" s="92">
        <v>5</v>
      </c>
      <c r="CA7" s="17"/>
      <c r="CB7" s="92">
        <v>31</v>
      </c>
      <c r="CC7" s="35"/>
      <c r="CD7" s="76"/>
      <c r="CE7" s="77"/>
      <c r="CF7" s="17"/>
      <c r="CG7" s="17"/>
      <c r="CH7" s="35"/>
      <c r="CI7" s="9"/>
      <c r="CJ7" s="17"/>
      <c r="CK7" s="17"/>
      <c r="CL7" s="17"/>
      <c r="CM7" s="35"/>
      <c r="CN7" s="9"/>
      <c r="CO7" s="17"/>
      <c r="CP7" s="17"/>
      <c r="CQ7" s="17"/>
      <c r="CR7" s="35"/>
      <c r="CS7" s="92">
        <v>6</v>
      </c>
      <c r="CT7" s="17">
        <v>106</v>
      </c>
      <c r="CU7" s="77">
        <v>42</v>
      </c>
      <c r="CV7" s="17"/>
      <c r="CW7" s="35">
        <v>0.26819999999999999</v>
      </c>
      <c r="CX7" s="9"/>
      <c r="CY7" s="17"/>
      <c r="CZ7" s="17"/>
      <c r="DA7" s="17"/>
      <c r="DB7" s="35"/>
      <c r="DC7" s="92">
        <v>25</v>
      </c>
      <c r="DD7" s="92">
        <v>1188</v>
      </c>
      <c r="DE7" s="92">
        <v>319</v>
      </c>
      <c r="DF7" s="92">
        <v>1587</v>
      </c>
      <c r="DG7" s="35">
        <v>1.37E-2</v>
      </c>
      <c r="DH7" s="92">
        <v>2</v>
      </c>
      <c r="DI7" s="91">
        <v>739.41</v>
      </c>
      <c r="DJ7" s="91">
        <v>43.5</v>
      </c>
      <c r="DK7" s="91">
        <v>8.5500000000000007</v>
      </c>
      <c r="DL7" s="35">
        <v>1.84E-2</v>
      </c>
      <c r="DM7" s="60">
        <v>5</v>
      </c>
      <c r="DN7" s="36">
        <v>6365.15</v>
      </c>
      <c r="DO7" s="36">
        <v>0.04</v>
      </c>
      <c r="DP7" s="36">
        <v>0.45</v>
      </c>
      <c r="DQ7" s="35">
        <v>2.8500000000000001E-2</v>
      </c>
      <c r="DR7" s="9"/>
      <c r="DS7" s="17"/>
      <c r="DT7" s="17"/>
      <c r="DU7" s="17"/>
      <c r="DV7" s="17"/>
      <c r="DW7" s="76"/>
      <c r="DX7" s="77"/>
      <c r="DY7" s="77"/>
      <c r="DZ7" s="77"/>
      <c r="EA7" s="35"/>
      <c r="EB7" s="92">
        <v>18</v>
      </c>
      <c r="EC7" s="92">
        <v>5860</v>
      </c>
      <c r="ED7" s="92">
        <v>362</v>
      </c>
      <c r="EE7" s="92">
        <v>558</v>
      </c>
      <c r="EF7" s="117">
        <v>0.05</v>
      </c>
      <c r="EG7" s="92">
        <v>16</v>
      </c>
      <c r="EH7" s="91">
        <v>985</v>
      </c>
      <c r="EI7" s="77"/>
      <c r="EJ7" s="91">
        <v>5487</v>
      </c>
      <c r="EK7" s="35">
        <v>4.1099999999999998E-2</v>
      </c>
      <c r="EL7" s="92">
        <v>16</v>
      </c>
      <c r="EM7" s="92">
        <v>2242</v>
      </c>
      <c r="EN7" s="92">
        <v>17</v>
      </c>
      <c r="EO7" s="92">
        <v>267</v>
      </c>
      <c r="EP7" s="35">
        <v>2.0299999999999999E-2</v>
      </c>
      <c r="EQ7" s="9">
        <v>9</v>
      </c>
      <c r="ER7" s="92"/>
      <c r="ES7" s="92">
        <v>239</v>
      </c>
      <c r="ET7" s="92">
        <v>44</v>
      </c>
      <c r="EU7" s="35">
        <v>2E-3</v>
      </c>
      <c r="EV7" s="92">
        <v>53</v>
      </c>
      <c r="EW7" s="91">
        <v>10762.32</v>
      </c>
      <c r="EX7" s="91">
        <v>900.73</v>
      </c>
      <c r="EY7" s="91">
        <v>12523.01</v>
      </c>
      <c r="EZ7" s="117">
        <v>0.25</v>
      </c>
    </row>
    <row r="8" spans="1:156" x14ac:dyDescent="0.25">
      <c r="A8" s="17" t="s">
        <v>149</v>
      </c>
      <c r="B8" s="9"/>
      <c r="C8" s="17"/>
      <c r="D8" s="17"/>
      <c r="E8" s="17"/>
      <c r="F8" s="35"/>
      <c r="G8" s="76">
        <v>1</v>
      </c>
      <c r="H8" s="77"/>
      <c r="I8" s="77">
        <v>23</v>
      </c>
      <c r="J8" s="17"/>
      <c r="K8" s="35">
        <v>2.5000000000000001E-3</v>
      </c>
      <c r="L8" s="92">
        <v>56</v>
      </c>
      <c r="M8" s="91">
        <v>68503.34</v>
      </c>
      <c r="N8" s="91">
        <v>9363.2099999999991</v>
      </c>
      <c r="O8" s="36">
        <v>65419.73</v>
      </c>
      <c r="P8" s="35">
        <v>0.34449999999999997</v>
      </c>
      <c r="Q8" s="76">
        <v>141</v>
      </c>
      <c r="R8" s="91">
        <v>75326.59</v>
      </c>
      <c r="S8" s="91">
        <v>2143.35</v>
      </c>
      <c r="T8" s="91">
        <v>52274.6</v>
      </c>
      <c r="U8" s="34">
        <v>0.33900000000000002</v>
      </c>
      <c r="V8" s="92">
        <v>1</v>
      </c>
      <c r="W8" s="92">
        <v>34023</v>
      </c>
      <c r="X8" s="92">
        <v>397</v>
      </c>
      <c r="Y8" s="92">
        <v>1</v>
      </c>
      <c r="Z8" s="35">
        <v>0.996</v>
      </c>
      <c r="AA8" s="92">
        <v>45</v>
      </c>
      <c r="AB8" s="91">
        <v>3438</v>
      </c>
      <c r="AC8" s="91">
        <v>529</v>
      </c>
      <c r="AD8" s="91">
        <v>5806</v>
      </c>
      <c r="AE8" s="35">
        <v>0.17319999999999999</v>
      </c>
      <c r="AF8" s="76">
        <v>4</v>
      </c>
      <c r="AG8" s="77">
        <v>593</v>
      </c>
      <c r="AH8" s="77">
        <v>397</v>
      </c>
      <c r="AI8" s="77"/>
      <c r="AJ8" s="35">
        <v>0.1</v>
      </c>
      <c r="AK8" s="92">
        <v>3</v>
      </c>
      <c r="AL8" s="77"/>
      <c r="AM8" s="91">
        <v>130.97</v>
      </c>
      <c r="AN8" s="77"/>
      <c r="AO8" s="35">
        <v>0.05</v>
      </c>
      <c r="AP8" s="92">
        <v>58</v>
      </c>
      <c r="AQ8" s="92">
        <v>9934</v>
      </c>
      <c r="AR8" s="92">
        <v>1199</v>
      </c>
      <c r="AS8" s="92">
        <v>3221</v>
      </c>
      <c r="AT8" s="35">
        <v>0.20669999999999999</v>
      </c>
      <c r="AU8" s="92">
        <v>64</v>
      </c>
      <c r="AV8" s="91">
        <v>19964</v>
      </c>
      <c r="AW8" s="91">
        <v>-55</v>
      </c>
      <c r="AX8" s="91">
        <v>3964</v>
      </c>
      <c r="AY8" s="35">
        <v>0.47949999999999998</v>
      </c>
      <c r="AZ8" s="92">
        <v>106</v>
      </c>
      <c r="BA8" s="92">
        <v>28973</v>
      </c>
      <c r="BB8" s="92">
        <v>1199</v>
      </c>
      <c r="BC8" s="92">
        <v>5629</v>
      </c>
      <c r="BD8" s="35">
        <v>0.10440000000000001</v>
      </c>
      <c r="BE8" s="92">
        <v>147</v>
      </c>
      <c r="BF8" s="92">
        <v>13728</v>
      </c>
      <c r="BG8" s="92">
        <v>1575</v>
      </c>
      <c r="BH8" s="92">
        <v>10071</v>
      </c>
      <c r="BI8" s="117">
        <v>0.17</v>
      </c>
      <c r="BJ8" s="76"/>
      <c r="BK8" s="77"/>
      <c r="BL8" s="77"/>
      <c r="BM8" s="17"/>
      <c r="BN8" s="35"/>
      <c r="BO8" s="76"/>
      <c r="BP8" s="77"/>
      <c r="BQ8" s="77"/>
      <c r="BR8" s="77"/>
      <c r="BS8" s="35"/>
      <c r="BT8" s="92">
        <v>16</v>
      </c>
      <c r="BU8" s="91">
        <v>2878.11</v>
      </c>
      <c r="BV8" s="91">
        <v>1367.15</v>
      </c>
      <c r="BW8" s="91">
        <v>29.83</v>
      </c>
      <c r="BX8" s="35">
        <v>0.32679999999999998</v>
      </c>
      <c r="BY8" s="92">
        <v>19</v>
      </c>
      <c r="BZ8" s="92">
        <v>6754</v>
      </c>
      <c r="CA8" s="92">
        <v>167</v>
      </c>
      <c r="CB8" s="92">
        <v>68</v>
      </c>
      <c r="CC8" s="117">
        <v>0.26</v>
      </c>
      <c r="CD8" s="76"/>
      <c r="CE8" s="77"/>
      <c r="CF8" s="17"/>
      <c r="CG8" s="17"/>
      <c r="CH8" s="35"/>
      <c r="CI8" s="9"/>
      <c r="CJ8" s="89"/>
      <c r="CK8" s="90"/>
      <c r="CL8" s="91"/>
      <c r="CM8" s="35"/>
      <c r="CN8" s="92">
        <v>124</v>
      </c>
      <c r="CO8" s="92">
        <v>2001</v>
      </c>
      <c r="CP8" s="92">
        <v>6138</v>
      </c>
      <c r="CQ8" s="92">
        <v>3698</v>
      </c>
      <c r="CR8" s="35">
        <v>0.1623</v>
      </c>
      <c r="CS8" s="92">
        <v>7</v>
      </c>
      <c r="CT8" s="17"/>
      <c r="CU8" s="77">
        <v>13</v>
      </c>
      <c r="CV8" s="77"/>
      <c r="CW8" s="35">
        <v>2.41E-2</v>
      </c>
      <c r="CX8" s="92">
        <v>1</v>
      </c>
      <c r="CY8" s="17"/>
      <c r="CZ8" s="91">
        <v>50.55</v>
      </c>
      <c r="DA8" s="17"/>
      <c r="DB8" s="35">
        <v>1.3599999999999999E-2</v>
      </c>
      <c r="DC8" s="92">
        <v>118</v>
      </c>
      <c r="DD8" s="92">
        <v>30571</v>
      </c>
      <c r="DE8" s="92">
        <v>3681</v>
      </c>
      <c r="DF8" s="92">
        <v>6248</v>
      </c>
      <c r="DG8" s="35">
        <v>0.17879999999999999</v>
      </c>
      <c r="DH8" s="92">
        <v>54</v>
      </c>
      <c r="DI8" s="91">
        <v>5347.59</v>
      </c>
      <c r="DJ8" s="91">
        <v>425.93</v>
      </c>
      <c r="DK8" s="91">
        <v>2513.5300000000002</v>
      </c>
      <c r="DL8" s="35">
        <v>0.1928</v>
      </c>
      <c r="DM8" s="60">
        <v>128</v>
      </c>
      <c r="DN8" s="36">
        <v>35928.25</v>
      </c>
      <c r="DO8" s="36">
        <v>2806.2</v>
      </c>
      <c r="DP8" s="36">
        <v>2240.29</v>
      </c>
      <c r="DQ8" s="35">
        <v>0.18310000000000001</v>
      </c>
      <c r="DR8" s="92">
        <v>7</v>
      </c>
      <c r="DS8" s="91">
        <v>326.52</v>
      </c>
      <c r="DT8" s="91">
        <v>191.09</v>
      </c>
      <c r="DU8" s="91">
        <v>111.27</v>
      </c>
      <c r="DV8" s="35">
        <v>9.3899999999999997E-2</v>
      </c>
      <c r="DW8" s="76"/>
      <c r="DX8" s="77"/>
      <c r="DY8" s="77"/>
      <c r="DZ8" s="77"/>
      <c r="EA8" s="35"/>
      <c r="EB8" s="92">
        <v>86</v>
      </c>
      <c r="EC8" s="92">
        <v>36892</v>
      </c>
      <c r="ED8" s="92">
        <v>2676</v>
      </c>
      <c r="EE8" s="92">
        <v>4342</v>
      </c>
      <c r="EF8" s="117">
        <v>0.3</v>
      </c>
      <c r="EG8" s="92">
        <v>241</v>
      </c>
      <c r="EH8" s="91">
        <v>35708</v>
      </c>
      <c r="EI8" s="91">
        <v>2159</v>
      </c>
      <c r="EJ8" s="91">
        <v>3393</v>
      </c>
      <c r="EK8" s="35">
        <v>0.26179999999999998</v>
      </c>
      <c r="EL8" s="92">
        <v>224</v>
      </c>
      <c r="EM8" s="92">
        <v>8255</v>
      </c>
      <c r="EN8" s="92">
        <v>4527</v>
      </c>
      <c r="EO8" s="92">
        <v>4194</v>
      </c>
      <c r="EP8" s="35">
        <v>0.1366</v>
      </c>
      <c r="EQ8" s="9">
        <v>100</v>
      </c>
      <c r="ER8" s="92">
        <v>2382</v>
      </c>
      <c r="ES8" s="92">
        <v>5493</v>
      </c>
      <c r="ET8" s="92">
        <v>973</v>
      </c>
      <c r="EU8" s="35">
        <v>6.3600000000000004E-2</v>
      </c>
      <c r="EV8" s="92">
        <v>17</v>
      </c>
      <c r="EW8" s="91">
        <v>7708.18</v>
      </c>
      <c r="EX8" s="91">
        <v>752.91</v>
      </c>
      <c r="EY8" s="91">
        <v>6020.15</v>
      </c>
      <c r="EZ8" s="117">
        <v>0.15</v>
      </c>
    </row>
    <row r="9" spans="1:156" x14ac:dyDescent="0.25">
      <c r="A9" s="17" t="s">
        <v>150</v>
      </c>
      <c r="B9" s="9"/>
      <c r="C9" s="77"/>
      <c r="D9" s="77"/>
      <c r="E9" s="77"/>
      <c r="F9" s="35"/>
      <c r="G9" s="76"/>
      <c r="H9" s="77"/>
      <c r="I9" s="77"/>
      <c r="J9" s="17"/>
      <c r="K9" s="35"/>
      <c r="L9" s="92">
        <v>1</v>
      </c>
      <c r="M9" s="91">
        <v>2241.27</v>
      </c>
      <c r="N9" s="91">
        <v>106.72</v>
      </c>
      <c r="O9" s="34"/>
      <c r="P9" s="35">
        <v>5.5999999999999999E-3</v>
      </c>
      <c r="Q9" s="76"/>
      <c r="R9" s="77"/>
      <c r="S9" s="77"/>
      <c r="T9" s="77"/>
      <c r="U9" s="35"/>
      <c r="V9" s="76"/>
      <c r="W9" s="77"/>
      <c r="X9" s="17"/>
      <c r="Y9" s="17"/>
      <c r="Z9" s="35"/>
      <c r="AA9" s="92">
        <v>1</v>
      </c>
      <c r="AB9" s="91">
        <v>4</v>
      </c>
      <c r="AC9" s="91"/>
      <c r="AD9" s="17"/>
      <c r="AE9" s="35">
        <v>1E-4</v>
      </c>
      <c r="AF9" s="76"/>
      <c r="AG9" s="77"/>
      <c r="AH9" s="17"/>
      <c r="AI9" s="17"/>
      <c r="AJ9" s="35"/>
      <c r="AK9" s="92">
        <v>12</v>
      </c>
      <c r="AL9" s="91">
        <v>1.98</v>
      </c>
      <c r="AM9" s="77"/>
      <c r="AN9" s="77"/>
      <c r="AO9" s="35"/>
      <c r="AP9" s="92">
        <v>11</v>
      </c>
      <c r="AQ9" s="92">
        <v>2121</v>
      </c>
      <c r="AR9" s="92">
        <v>426</v>
      </c>
      <c r="AS9" s="92">
        <v>22</v>
      </c>
      <c r="AT9" s="35">
        <v>3.6999999999999998E-2</v>
      </c>
      <c r="AU9" s="92">
        <v>3</v>
      </c>
      <c r="AV9" s="91">
        <v>8</v>
      </c>
      <c r="AW9" s="91">
        <v>6</v>
      </c>
      <c r="AX9" s="91">
        <v>6</v>
      </c>
      <c r="AY9" s="35">
        <v>4.0000000000000002E-4</v>
      </c>
      <c r="AZ9" s="92">
        <v>5</v>
      </c>
      <c r="BA9" s="92">
        <v>56</v>
      </c>
      <c r="BB9" s="92"/>
      <c r="BC9" s="92">
        <v>33</v>
      </c>
      <c r="BD9" s="35">
        <v>2.9999999999999997E-4</v>
      </c>
      <c r="BE9" s="92">
        <v>2</v>
      </c>
      <c r="BF9" s="92">
        <v>26</v>
      </c>
      <c r="BG9" s="92">
        <v>-2</v>
      </c>
      <c r="BH9" s="92">
        <v>3</v>
      </c>
      <c r="BI9" s="117">
        <v>0</v>
      </c>
      <c r="BJ9" s="76"/>
      <c r="BK9" s="77"/>
      <c r="BL9" s="77"/>
      <c r="BM9" s="17"/>
      <c r="BN9" s="35"/>
      <c r="BO9" s="76"/>
      <c r="BP9" s="77"/>
      <c r="BQ9" s="77"/>
      <c r="BR9" s="77"/>
      <c r="BS9" s="35"/>
      <c r="BT9" s="92">
        <v>1</v>
      </c>
      <c r="BU9" s="91">
        <v>7713.99</v>
      </c>
      <c r="BV9" s="91">
        <v>1069.74</v>
      </c>
      <c r="BW9" s="91">
        <v>0.01</v>
      </c>
      <c r="BX9" s="35">
        <v>0.6714</v>
      </c>
      <c r="BY9" s="92">
        <v>5</v>
      </c>
      <c r="BZ9" s="92">
        <v>7</v>
      </c>
      <c r="CA9" s="91"/>
      <c r="CB9" s="17"/>
      <c r="CC9" s="35"/>
      <c r="CD9" s="9"/>
      <c r="CE9" s="17"/>
      <c r="CF9" s="17"/>
      <c r="CG9" s="17"/>
      <c r="CH9" s="35"/>
      <c r="CI9" s="9"/>
      <c r="CJ9" s="89"/>
      <c r="CK9" s="90"/>
      <c r="CL9" s="91"/>
      <c r="CM9" s="35"/>
      <c r="CN9" s="92">
        <v>15</v>
      </c>
      <c r="CO9" s="92">
        <v>773</v>
      </c>
      <c r="CP9" s="92">
        <v>901</v>
      </c>
      <c r="CQ9" s="92">
        <v>719</v>
      </c>
      <c r="CR9" s="35">
        <v>3.2800000000000003E-2</v>
      </c>
      <c r="CS9" s="92">
        <v>5</v>
      </c>
      <c r="CT9" s="77"/>
      <c r="CU9" s="77">
        <v>34</v>
      </c>
      <c r="CV9" s="77"/>
      <c r="CW9" s="35">
        <v>6.1199999999999997E-2</v>
      </c>
      <c r="CX9" s="92">
        <v>1</v>
      </c>
      <c r="CY9" s="17"/>
      <c r="CZ9" s="91">
        <v>98.79</v>
      </c>
      <c r="DA9" s="17"/>
      <c r="DB9" s="35">
        <v>2.6499999999999999E-2</v>
      </c>
      <c r="DC9" s="76">
        <v>9</v>
      </c>
      <c r="DD9" s="92">
        <v>3624</v>
      </c>
      <c r="DE9" s="92">
        <v>384</v>
      </c>
      <c r="DF9" s="92">
        <v>443</v>
      </c>
      <c r="DG9" s="35">
        <v>1.9699999999999999E-2</v>
      </c>
      <c r="DH9" s="92">
        <v>13</v>
      </c>
      <c r="DI9" s="91">
        <v>1817.63</v>
      </c>
      <c r="DJ9" s="91">
        <v>95.18</v>
      </c>
      <c r="DK9" s="91">
        <v>811.58</v>
      </c>
      <c r="DL9" s="35">
        <v>6.3399999999999998E-2</v>
      </c>
      <c r="DM9" s="60">
        <v>2</v>
      </c>
      <c r="DN9" s="36"/>
      <c r="DO9" s="36"/>
      <c r="DP9" s="36">
        <v>40.450000000000003</v>
      </c>
      <c r="DQ9" s="35">
        <v>2.0000000000000001E-4</v>
      </c>
      <c r="DR9" s="92">
        <v>6</v>
      </c>
      <c r="DS9" s="91">
        <v>282.72000000000003</v>
      </c>
      <c r="DT9" s="91">
        <v>102.93</v>
      </c>
      <c r="DU9" s="91"/>
      <c r="DV9" s="35">
        <v>5.7599999999999998E-2</v>
      </c>
      <c r="DW9" s="76"/>
      <c r="DX9" s="77"/>
      <c r="DY9" s="77"/>
      <c r="DZ9" s="77"/>
      <c r="EA9" s="35"/>
      <c r="EB9" s="92"/>
      <c r="EC9" s="92"/>
      <c r="ED9" s="92"/>
      <c r="EE9" s="92"/>
      <c r="EF9" s="35"/>
      <c r="EG9" s="92">
        <v>70</v>
      </c>
      <c r="EH9" s="91">
        <v>5981</v>
      </c>
      <c r="EI9" s="91">
        <v>8738</v>
      </c>
      <c r="EJ9" s="91">
        <v>74321</v>
      </c>
      <c r="EK9" s="35">
        <v>0.56499999999999995</v>
      </c>
      <c r="EL9" s="92">
        <v>5</v>
      </c>
      <c r="EM9" s="92">
        <v>5</v>
      </c>
      <c r="EN9" s="92">
        <v>0.2</v>
      </c>
      <c r="EO9" s="92">
        <v>1.51</v>
      </c>
      <c r="EP9" s="35">
        <v>5.0000000000000002E-5</v>
      </c>
      <c r="EQ9" s="9">
        <v>25</v>
      </c>
      <c r="ER9" s="92">
        <v>16308</v>
      </c>
      <c r="ES9" s="92">
        <v>1650</v>
      </c>
      <c r="ET9" s="92">
        <v>5945</v>
      </c>
      <c r="EU9" s="35">
        <v>0.17180000000000001</v>
      </c>
      <c r="EV9" s="92">
        <v>10</v>
      </c>
      <c r="EW9" s="91">
        <v>82</v>
      </c>
      <c r="EX9" s="91">
        <v>244.69</v>
      </c>
      <c r="EY9" s="91">
        <v>664.11</v>
      </c>
      <c r="EZ9" s="117">
        <v>0.01</v>
      </c>
    </row>
    <row r="10" spans="1:156" x14ac:dyDescent="0.25">
      <c r="A10" s="17" t="s">
        <v>151</v>
      </c>
      <c r="B10" s="9"/>
      <c r="C10" s="17"/>
      <c r="D10" s="17"/>
      <c r="E10" s="17"/>
      <c r="F10" s="35"/>
      <c r="G10" s="9"/>
      <c r="H10" s="17"/>
      <c r="I10" s="17"/>
      <c r="J10" s="17"/>
      <c r="K10" s="35"/>
      <c r="L10" s="76"/>
      <c r="M10" s="77"/>
      <c r="N10" s="17"/>
      <c r="O10" s="34"/>
      <c r="P10" s="17"/>
      <c r="Q10" s="9"/>
      <c r="R10" s="17"/>
      <c r="S10" s="17"/>
      <c r="T10" s="17"/>
      <c r="U10" s="35"/>
      <c r="V10" s="9"/>
      <c r="W10" s="77"/>
      <c r="X10" s="17"/>
      <c r="Y10" s="17"/>
      <c r="Z10" s="35"/>
      <c r="AA10" s="92"/>
      <c r="AB10" s="91"/>
      <c r="AC10" s="91"/>
      <c r="AD10" s="17"/>
      <c r="AE10" s="35"/>
      <c r="AF10" s="9"/>
      <c r="AG10" s="17"/>
      <c r="AH10" s="17"/>
      <c r="AI10" s="17"/>
      <c r="AJ10" s="35"/>
      <c r="AK10" s="76"/>
      <c r="AL10" s="77"/>
      <c r="AM10" s="17"/>
      <c r="AN10" s="77"/>
      <c r="AO10" s="35"/>
      <c r="AP10" s="92">
        <v>1</v>
      </c>
      <c r="AQ10" s="92">
        <v>2</v>
      </c>
      <c r="AR10" s="17"/>
      <c r="AS10" s="17"/>
      <c r="AT10" s="35"/>
      <c r="AU10" s="9"/>
      <c r="AV10" s="17"/>
      <c r="AW10" s="17"/>
      <c r="AX10" s="17"/>
      <c r="AY10" s="35"/>
      <c r="AZ10" s="76"/>
      <c r="BA10" s="77"/>
      <c r="BB10" s="77"/>
      <c r="BC10" s="77"/>
      <c r="BD10" s="35"/>
      <c r="BE10" s="92">
        <v>11</v>
      </c>
      <c r="BF10" s="92">
        <v>52</v>
      </c>
      <c r="BG10" s="92">
        <v>1</v>
      </c>
      <c r="BH10" s="92">
        <v>-1</v>
      </c>
      <c r="BI10" s="117">
        <v>0</v>
      </c>
      <c r="BJ10" s="9"/>
      <c r="BK10" s="17"/>
      <c r="BL10" s="17"/>
      <c r="BM10" s="17"/>
      <c r="BN10" s="35"/>
      <c r="BO10" s="76"/>
      <c r="BP10" s="17"/>
      <c r="BQ10" s="17"/>
      <c r="BR10" s="17"/>
      <c r="BS10" s="35"/>
      <c r="BT10" s="92">
        <v>1</v>
      </c>
      <c r="BU10" s="91">
        <v>0.16</v>
      </c>
      <c r="BV10" s="17"/>
      <c r="BW10" s="17"/>
      <c r="BX10" s="35"/>
      <c r="BY10" s="92">
        <v>7</v>
      </c>
      <c r="BZ10" s="92">
        <v>6</v>
      </c>
      <c r="CA10" s="17"/>
      <c r="CB10" s="17"/>
      <c r="CC10" s="35"/>
      <c r="CD10" s="9"/>
      <c r="CE10" s="17"/>
      <c r="CF10" s="17"/>
      <c r="CG10" s="17"/>
      <c r="CH10" s="35"/>
      <c r="CI10" s="9"/>
      <c r="CJ10" s="89"/>
      <c r="CK10" s="90"/>
      <c r="CL10" s="91"/>
      <c r="CM10" s="35"/>
      <c r="CN10" s="92">
        <v>55</v>
      </c>
      <c r="CO10" s="92">
        <v>6164</v>
      </c>
      <c r="CP10" s="92">
        <v>2088</v>
      </c>
      <c r="CQ10" s="92">
        <v>1501</v>
      </c>
      <c r="CR10" s="35">
        <v>0.1338</v>
      </c>
      <c r="CS10" s="9"/>
      <c r="CT10" s="17"/>
      <c r="CU10" s="17"/>
      <c r="CV10" s="17"/>
      <c r="CW10" s="35"/>
      <c r="CX10" s="9"/>
      <c r="CY10" s="17"/>
      <c r="CZ10" s="17"/>
      <c r="DA10" s="17"/>
      <c r="DB10" s="35"/>
      <c r="DC10" s="9">
        <v>10</v>
      </c>
      <c r="DD10" s="92">
        <v>13444</v>
      </c>
      <c r="DE10" s="92">
        <v>1362</v>
      </c>
      <c r="DF10" s="92">
        <v>747</v>
      </c>
      <c r="DG10" s="35">
        <v>6.8699999999999997E-2</v>
      </c>
      <c r="DH10" s="9"/>
      <c r="DI10" s="17"/>
      <c r="DJ10" s="17"/>
      <c r="DK10" s="17"/>
      <c r="DL10" s="35"/>
      <c r="DM10" s="60">
        <v>1</v>
      </c>
      <c r="DN10" s="36">
        <v>14.45</v>
      </c>
      <c r="DO10" s="36">
        <v>-0.03</v>
      </c>
      <c r="DP10" s="36"/>
      <c r="DQ10" s="35">
        <v>1E-4</v>
      </c>
      <c r="DR10" s="92">
        <v>11</v>
      </c>
      <c r="DS10" s="91">
        <v>182.84</v>
      </c>
      <c r="DT10" s="91">
        <v>94.64</v>
      </c>
      <c r="DU10" s="91">
        <v>13.71</v>
      </c>
      <c r="DV10" s="35">
        <v>4.3499999999999997E-2</v>
      </c>
      <c r="DW10" s="76"/>
      <c r="DX10" s="77"/>
      <c r="DY10" s="77"/>
      <c r="DZ10" s="77"/>
      <c r="EA10" s="35"/>
      <c r="EB10" s="92">
        <v>2</v>
      </c>
      <c r="EC10" s="92">
        <v>24</v>
      </c>
      <c r="ED10" s="92"/>
      <c r="EE10" s="92">
        <v>-2</v>
      </c>
      <c r="EF10" s="35"/>
      <c r="EG10" s="92">
        <v>32</v>
      </c>
      <c r="EH10" s="91">
        <v>18079</v>
      </c>
      <c r="EI10" s="91">
        <v>298</v>
      </c>
      <c r="EJ10" s="91">
        <v>2435</v>
      </c>
      <c r="EK10" s="35">
        <v>0.1321</v>
      </c>
      <c r="EL10" s="92">
        <v>55</v>
      </c>
      <c r="EM10" s="92">
        <v>2293</v>
      </c>
      <c r="EN10" s="92">
        <v>1235</v>
      </c>
      <c r="EO10" s="92">
        <v>129</v>
      </c>
      <c r="EP10" s="35">
        <v>2.9399999999999999E-2</v>
      </c>
      <c r="EQ10" s="9">
        <v>21</v>
      </c>
      <c r="ER10" s="92">
        <v>534</v>
      </c>
      <c r="ES10" s="92">
        <v>301</v>
      </c>
      <c r="ET10" s="92">
        <v>303</v>
      </c>
      <c r="EU10" s="35">
        <v>8.2000000000000007E-3</v>
      </c>
      <c r="EV10" s="92">
        <v>14</v>
      </c>
      <c r="EW10" s="91">
        <v>44.26</v>
      </c>
      <c r="EX10" s="91">
        <v>134.16999999999999</v>
      </c>
      <c r="EY10" s="91">
        <v>415.72</v>
      </c>
      <c r="EZ10" s="117">
        <v>0.01</v>
      </c>
    </row>
    <row r="11" spans="1:156" s="40" customFormat="1" x14ac:dyDescent="0.25">
      <c r="A11" s="19" t="s">
        <v>271</v>
      </c>
      <c r="B11" s="31">
        <f>B6+B7+B8+B9+B10</f>
        <v>1</v>
      </c>
      <c r="C11" s="31">
        <f t="shared" ref="C11:BN11" si="0">C6+C7+C8+C9+C10</f>
        <v>0</v>
      </c>
      <c r="D11" s="31">
        <f t="shared" si="0"/>
        <v>0</v>
      </c>
      <c r="E11" s="31">
        <f t="shared" si="0"/>
        <v>0</v>
      </c>
      <c r="F11" s="31">
        <f t="shared" si="0"/>
        <v>0</v>
      </c>
      <c r="G11" s="31">
        <f t="shared" si="0"/>
        <v>1</v>
      </c>
      <c r="H11" s="31">
        <f t="shared" si="0"/>
        <v>0</v>
      </c>
      <c r="I11" s="31">
        <f t="shared" si="0"/>
        <v>23</v>
      </c>
      <c r="J11" s="31">
        <f t="shared" si="0"/>
        <v>0</v>
      </c>
      <c r="K11" s="31">
        <f t="shared" si="0"/>
        <v>2.5000000000000001E-3</v>
      </c>
      <c r="L11" s="31">
        <f t="shared" si="0"/>
        <v>64</v>
      </c>
      <c r="M11" s="31">
        <f t="shared" si="0"/>
        <v>74897.440000000002</v>
      </c>
      <c r="N11" s="31">
        <f t="shared" si="0"/>
        <v>10350.009999999998</v>
      </c>
      <c r="O11" s="31">
        <f t="shared" si="0"/>
        <v>65419.73</v>
      </c>
      <c r="P11" s="37">
        <f t="shared" si="0"/>
        <v>0.36219999999999997</v>
      </c>
      <c r="Q11" s="31">
        <f t="shared" si="0"/>
        <v>171</v>
      </c>
      <c r="R11" s="19">
        <f t="shared" si="0"/>
        <v>78029.819999999992</v>
      </c>
      <c r="S11" s="31">
        <f t="shared" si="0"/>
        <v>2274.41</v>
      </c>
      <c r="T11" s="31">
        <f t="shared" si="0"/>
        <v>82606.33</v>
      </c>
      <c r="U11" s="37">
        <f t="shared" si="0"/>
        <v>0.42570000000000002</v>
      </c>
      <c r="V11" s="31">
        <f t="shared" si="0"/>
        <v>2</v>
      </c>
      <c r="W11" s="31">
        <f t="shared" si="0"/>
        <v>34166</v>
      </c>
      <c r="X11" s="31">
        <f t="shared" si="0"/>
        <v>397</v>
      </c>
      <c r="Y11" s="31">
        <f t="shared" si="0"/>
        <v>1</v>
      </c>
      <c r="Z11" s="62">
        <f t="shared" si="0"/>
        <v>1</v>
      </c>
      <c r="AA11" s="31">
        <f t="shared" si="0"/>
        <v>49</v>
      </c>
      <c r="AB11" s="31">
        <f t="shared" si="0"/>
        <v>4567</v>
      </c>
      <c r="AC11" s="31">
        <f t="shared" si="0"/>
        <v>592</v>
      </c>
      <c r="AD11" s="31">
        <f t="shared" si="0"/>
        <v>5806</v>
      </c>
      <c r="AE11" s="37">
        <f t="shared" si="0"/>
        <v>0.19439999999999999</v>
      </c>
      <c r="AF11" s="31">
        <f t="shared" si="0"/>
        <v>4</v>
      </c>
      <c r="AG11" s="31">
        <f t="shared" si="0"/>
        <v>593</v>
      </c>
      <c r="AH11" s="31">
        <f t="shared" si="0"/>
        <v>397</v>
      </c>
      <c r="AI11" s="31">
        <f t="shared" si="0"/>
        <v>0</v>
      </c>
      <c r="AJ11" s="62">
        <f t="shared" si="0"/>
        <v>0.1</v>
      </c>
      <c r="AK11" s="31">
        <f t="shared" si="0"/>
        <v>15</v>
      </c>
      <c r="AL11" s="31">
        <f t="shared" si="0"/>
        <v>1.98</v>
      </c>
      <c r="AM11" s="31">
        <f t="shared" si="0"/>
        <v>130.97</v>
      </c>
      <c r="AN11" s="31">
        <f t="shared" si="0"/>
        <v>0</v>
      </c>
      <c r="AO11" s="62">
        <f t="shared" si="0"/>
        <v>0.05</v>
      </c>
      <c r="AP11" s="31">
        <f t="shared" si="0"/>
        <v>72</v>
      </c>
      <c r="AQ11" s="31">
        <f t="shared" si="0"/>
        <v>14338</v>
      </c>
      <c r="AR11" s="31">
        <f t="shared" si="0"/>
        <v>1916</v>
      </c>
      <c r="AS11" s="31">
        <f t="shared" si="0"/>
        <v>3255</v>
      </c>
      <c r="AT11" s="37">
        <f t="shared" si="0"/>
        <v>0.28089999999999998</v>
      </c>
      <c r="AU11" s="31">
        <f t="shared" si="0"/>
        <v>69</v>
      </c>
      <c r="AV11" s="31">
        <f t="shared" si="0"/>
        <v>30576</v>
      </c>
      <c r="AW11" s="31">
        <f t="shared" si="0"/>
        <v>-93</v>
      </c>
      <c r="AX11" s="31">
        <f t="shared" si="0"/>
        <v>3990</v>
      </c>
      <c r="AY11" s="37">
        <f t="shared" si="0"/>
        <v>0.6923999999999999</v>
      </c>
      <c r="AZ11" s="31">
        <f t="shared" si="0"/>
        <v>127</v>
      </c>
      <c r="BA11" s="31">
        <f t="shared" si="0"/>
        <v>30012</v>
      </c>
      <c r="BB11" s="31">
        <f t="shared" si="0"/>
        <v>1304</v>
      </c>
      <c r="BC11" s="31">
        <f t="shared" si="0"/>
        <v>6710</v>
      </c>
      <c r="BD11" s="37">
        <f t="shared" si="0"/>
        <v>0.1109</v>
      </c>
      <c r="BE11" s="31">
        <f t="shared" si="0"/>
        <v>197</v>
      </c>
      <c r="BF11" s="31">
        <f t="shared" si="0"/>
        <v>19305</v>
      </c>
      <c r="BG11" s="31">
        <f t="shared" si="0"/>
        <v>1766</v>
      </c>
      <c r="BH11" s="31">
        <f t="shared" si="0"/>
        <v>9780</v>
      </c>
      <c r="BI11" s="62">
        <f t="shared" si="0"/>
        <v>0.21000000000000002</v>
      </c>
      <c r="BJ11" s="31">
        <f t="shared" si="0"/>
        <v>0</v>
      </c>
      <c r="BK11" s="31">
        <f t="shared" si="0"/>
        <v>0</v>
      </c>
      <c r="BL11" s="31">
        <f t="shared" si="0"/>
        <v>0</v>
      </c>
      <c r="BM11" s="31">
        <f t="shared" si="0"/>
        <v>0</v>
      </c>
      <c r="BN11" s="31">
        <f t="shared" si="0"/>
        <v>0</v>
      </c>
      <c r="BO11" s="31">
        <f t="shared" ref="BO11:DZ11" si="1">BO6+BO7+BO8+BO9+BO10</f>
        <v>0</v>
      </c>
      <c r="BP11" s="31">
        <f t="shared" si="1"/>
        <v>0</v>
      </c>
      <c r="BQ11" s="31">
        <f t="shared" si="1"/>
        <v>0</v>
      </c>
      <c r="BR11" s="31">
        <f t="shared" si="1"/>
        <v>0</v>
      </c>
      <c r="BS11" s="31">
        <f t="shared" si="1"/>
        <v>0</v>
      </c>
      <c r="BT11" s="31">
        <f t="shared" si="1"/>
        <v>21</v>
      </c>
      <c r="BU11" s="31">
        <f t="shared" si="1"/>
        <v>10598.06</v>
      </c>
      <c r="BV11" s="31">
        <f t="shared" si="1"/>
        <v>2454.91</v>
      </c>
      <c r="BW11" s="31">
        <f t="shared" si="1"/>
        <v>29.84</v>
      </c>
      <c r="BX11" s="62">
        <f t="shared" si="1"/>
        <v>1</v>
      </c>
      <c r="BY11" s="31">
        <f t="shared" si="1"/>
        <v>36</v>
      </c>
      <c r="BZ11" s="31">
        <f t="shared" si="1"/>
        <v>6772</v>
      </c>
      <c r="CA11" s="31">
        <f t="shared" si="1"/>
        <v>167</v>
      </c>
      <c r="CB11" s="31">
        <f t="shared" si="1"/>
        <v>99</v>
      </c>
      <c r="CC11" s="31">
        <f t="shared" si="1"/>
        <v>0.26</v>
      </c>
      <c r="CD11" s="31">
        <f t="shared" si="1"/>
        <v>0</v>
      </c>
      <c r="CE11" s="31">
        <f t="shared" si="1"/>
        <v>0</v>
      </c>
      <c r="CF11" s="31">
        <f t="shared" si="1"/>
        <v>0</v>
      </c>
      <c r="CG11" s="31">
        <f t="shared" si="1"/>
        <v>0</v>
      </c>
      <c r="CH11" s="31">
        <f t="shared" si="1"/>
        <v>0</v>
      </c>
      <c r="CI11" s="31">
        <f t="shared" si="1"/>
        <v>0</v>
      </c>
      <c r="CJ11" s="31">
        <f t="shared" si="1"/>
        <v>0</v>
      </c>
      <c r="CK11" s="31">
        <f t="shared" si="1"/>
        <v>0</v>
      </c>
      <c r="CL11" s="31">
        <f t="shared" si="1"/>
        <v>0</v>
      </c>
      <c r="CM11" s="31">
        <f t="shared" si="1"/>
        <v>0</v>
      </c>
      <c r="CN11" s="31">
        <f t="shared" si="1"/>
        <v>194</v>
      </c>
      <c r="CO11" s="31">
        <f t="shared" si="1"/>
        <v>8938</v>
      </c>
      <c r="CP11" s="31">
        <f t="shared" si="1"/>
        <v>9127</v>
      </c>
      <c r="CQ11" s="31">
        <f t="shared" si="1"/>
        <v>5918</v>
      </c>
      <c r="CR11" s="37">
        <f t="shared" si="1"/>
        <v>0.32889999999999997</v>
      </c>
      <c r="CS11" s="31">
        <f t="shared" si="1"/>
        <v>18</v>
      </c>
      <c r="CT11" s="31">
        <f t="shared" si="1"/>
        <v>106</v>
      </c>
      <c r="CU11" s="31">
        <f t="shared" si="1"/>
        <v>89</v>
      </c>
      <c r="CV11" s="31">
        <f t="shared" si="1"/>
        <v>0</v>
      </c>
      <c r="CW11" s="31">
        <f t="shared" si="1"/>
        <v>0.35349999999999998</v>
      </c>
      <c r="CX11" s="31">
        <f t="shared" si="1"/>
        <v>2</v>
      </c>
      <c r="CY11" s="31">
        <f t="shared" si="1"/>
        <v>0</v>
      </c>
      <c r="CZ11" s="19">
        <f t="shared" si="1"/>
        <v>149.34</v>
      </c>
      <c r="DA11" s="31">
        <f t="shared" si="1"/>
        <v>0</v>
      </c>
      <c r="DB11" s="37">
        <f t="shared" si="1"/>
        <v>4.0099999999999997E-2</v>
      </c>
      <c r="DC11" s="31">
        <f t="shared" si="1"/>
        <v>162</v>
      </c>
      <c r="DD11" s="31">
        <f t="shared" si="1"/>
        <v>48827</v>
      </c>
      <c r="DE11" s="31">
        <f t="shared" si="1"/>
        <v>5746</v>
      </c>
      <c r="DF11" s="31">
        <f t="shared" si="1"/>
        <v>9025</v>
      </c>
      <c r="DG11" s="37">
        <f t="shared" si="1"/>
        <v>0.28089999999999998</v>
      </c>
      <c r="DH11" s="31">
        <f t="shared" si="1"/>
        <v>69</v>
      </c>
      <c r="DI11" s="19">
        <f t="shared" si="1"/>
        <v>7904.63</v>
      </c>
      <c r="DJ11" s="19">
        <f t="shared" si="1"/>
        <v>564.61</v>
      </c>
      <c r="DK11" s="19">
        <f t="shared" si="1"/>
        <v>3333.6600000000003</v>
      </c>
      <c r="DL11" s="37">
        <f t="shared" si="1"/>
        <v>0.27460000000000001</v>
      </c>
      <c r="DM11" s="31">
        <f t="shared" si="1"/>
        <v>136</v>
      </c>
      <c r="DN11" s="19">
        <f t="shared" si="1"/>
        <v>42307.85</v>
      </c>
      <c r="DO11" s="19">
        <f t="shared" si="1"/>
        <v>2806.2099999999996</v>
      </c>
      <c r="DP11" s="19">
        <f t="shared" si="1"/>
        <v>2281.1899999999996</v>
      </c>
      <c r="DQ11" s="37">
        <f t="shared" si="1"/>
        <v>0.21190000000000001</v>
      </c>
      <c r="DR11" s="31">
        <f t="shared" si="1"/>
        <v>24</v>
      </c>
      <c r="DS11" s="19">
        <f t="shared" si="1"/>
        <v>792.08</v>
      </c>
      <c r="DT11" s="19">
        <f t="shared" si="1"/>
        <v>388.65999999999997</v>
      </c>
      <c r="DU11" s="19">
        <f t="shared" si="1"/>
        <v>124.97999999999999</v>
      </c>
      <c r="DV11" s="37">
        <f t="shared" si="1"/>
        <v>0.19500000000000001</v>
      </c>
      <c r="DW11" s="31">
        <f t="shared" si="1"/>
        <v>0</v>
      </c>
      <c r="DX11" s="31">
        <f t="shared" si="1"/>
        <v>0</v>
      </c>
      <c r="DY11" s="31">
        <f t="shared" si="1"/>
        <v>0</v>
      </c>
      <c r="DZ11" s="31">
        <f t="shared" si="1"/>
        <v>0</v>
      </c>
      <c r="EA11" s="31">
        <f t="shared" ref="EA11:EZ11" si="2">EA6+EA7+EA8+EA9+EA10</f>
        <v>0</v>
      </c>
      <c r="EB11" s="31">
        <f t="shared" si="2"/>
        <v>106</v>
      </c>
      <c r="EC11" s="31">
        <f t="shared" si="2"/>
        <v>42776</v>
      </c>
      <c r="ED11" s="31">
        <f t="shared" si="2"/>
        <v>3038</v>
      </c>
      <c r="EE11" s="31">
        <f t="shared" si="2"/>
        <v>4898</v>
      </c>
      <c r="EF11" s="62">
        <f t="shared" si="2"/>
        <v>0.35</v>
      </c>
      <c r="EG11" s="31">
        <f t="shared" si="2"/>
        <v>359</v>
      </c>
      <c r="EH11" s="31">
        <f t="shared" si="2"/>
        <v>60753</v>
      </c>
      <c r="EI11" s="31">
        <f t="shared" si="2"/>
        <v>11195</v>
      </c>
      <c r="EJ11" s="31">
        <f t="shared" si="2"/>
        <v>85636</v>
      </c>
      <c r="EK11" s="62">
        <f t="shared" si="2"/>
        <v>0.99999999999999989</v>
      </c>
      <c r="EL11" s="31">
        <f t="shared" si="2"/>
        <v>300</v>
      </c>
      <c r="EM11" s="31">
        <f t="shared" si="2"/>
        <v>12795</v>
      </c>
      <c r="EN11" s="31">
        <f t="shared" si="2"/>
        <v>5779.2</v>
      </c>
      <c r="EO11" s="31">
        <f t="shared" si="2"/>
        <v>4591.51</v>
      </c>
      <c r="EP11" s="37">
        <f t="shared" si="2"/>
        <v>0.18634999999999999</v>
      </c>
      <c r="EQ11" s="31">
        <f t="shared" si="2"/>
        <v>159</v>
      </c>
      <c r="ER11" s="31">
        <f t="shared" si="2"/>
        <v>19331</v>
      </c>
      <c r="ES11" s="31">
        <f t="shared" si="2"/>
        <v>7692</v>
      </c>
      <c r="ET11" s="31">
        <f t="shared" si="2"/>
        <v>7325</v>
      </c>
      <c r="EU11" s="31">
        <f t="shared" si="2"/>
        <v>0.24690000000000004</v>
      </c>
      <c r="EV11" s="31">
        <f t="shared" si="2"/>
        <v>94</v>
      </c>
      <c r="EW11" s="31">
        <f t="shared" si="2"/>
        <v>18596.759999999998</v>
      </c>
      <c r="EX11" s="31">
        <f t="shared" si="2"/>
        <v>2032.5</v>
      </c>
      <c r="EY11" s="31">
        <f t="shared" si="2"/>
        <v>19622.990000000002</v>
      </c>
      <c r="EZ11" s="62">
        <f t="shared" si="2"/>
        <v>0.42000000000000004</v>
      </c>
    </row>
    <row r="12" spans="1:156" x14ac:dyDescent="0.25">
      <c r="A12" s="114" t="s">
        <v>272</v>
      </c>
      <c r="B12" s="92"/>
      <c r="C12" s="91"/>
      <c r="D12" s="91"/>
      <c r="E12" s="91"/>
      <c r="F12" s="35"/>
      <c r="G12" s="92"/>
      <c r="H12" s="91"/>
      <c r="I12" s="91"/>
      <c r="J12" s="91"/>
      <c r="K12" s="35"/>
      <c r="L12" s="92"/>
      <c r="M12" s="91"/>
      <c r="N12" s="91"/>
      <c r="O12" s="34"/>
      <c r="P12" s="91"/>
      <c r="Q12" s="92"/>
      <c r="R12" s="91"/>
      <c r="S12" s="91"/>
      <c r="T12" s="91"/>
      <c r="U12" s="35"/>
      <c r="V12" s="92"/>
      <c r="W12" s="91"/>
      <c r="X12" s="91"/>
      <c r="Y12" s="91"/>
      <c r="Z12" s="35"/>
      <c r="AA12" s="92"/>
      <c r="AB12" s="91"/>
      <c r="AC12" s="91"/>
      <c r="AD12" s="91"/>
      <c r="AE12" s="35"/>
      <c r="AF12" s="92"/>
      <c r="AG12" s="91"/>
      <c r="AH12" s="91"/>
      <c r="AI12" s="91"/>
      <c r="AJ12" s="35"/>
      <c r="AK12" s="92"/>
      <c r="AL12" s="91"/>
      <c r="AM12" s="91"/>
      <c r="AN12" s="91"/>
      <c r="AO12" s="35"/>
      <c r="AP12" s="92"/>
      <c r="AQ12" s="91"/>
      <c r="AR12" s="91"/>
      <c r="AS12" s="91"/>
      <c r="AT12" s="35"/>
      <c r="AU12" s="92"/>
      <c r="AV12" s="91"/>
      <c r="AW12" s="91"/>
      <c r="AX12" s="91"/>
      <c r="AY12" s="35"/>
      <c r="AZ12" s="92"/>
      <c r="BA12" s="91"/>
      <c r="BB12" s="91"/>
      <c r="BC12" s="91"/>
      <c r="BD12" s="35"/>
      <c r="BE12" s="92"/>
      <c r="BF12" s="91"/>
      <c r="BG12" s="91"/>
      <c r="BH12" s="91"/>
      <c r="BI12" s="35"/>
      <c r="BJ12" s="92"/>
      <c r="BK12" s="91"/>
      <c r="BL12" s="91"/>
      <c r="BM12" s="91"/>
      <c r="BN12" s="35"/>
      <c r="BO12" s="92"/>
      <c r="BP12" s="91"/>
      <c r="BQ12" s="91"/>
      <c r="BR12" s="91"/>
      <c r="BS12" s="35"/>
      <c r="BT12" s="92"/>
      <c r="BU12" s="91"/>
      <c r="BV12" s="91"/>
      <c r="BW12" s="91"/>
      <c r="BX12" s="35"/>
      <c r="BY12" s="92"/>
      <c r="BZ12" s="91"/>
      <c r="CA12" s="91"/>
      <c r="CB12" s="91"/>
      <c r="CC12" s="35"/>
      <c r="CD12" s="92"/>
      <c r="CE12" s="91"/>
      <c r="CF12" s="91"/>
      <c r="CG12" s="91"/>
      <c r="CH12" s="35"/>
      <c r="CI12" s="92"/>
      <c r="CJ12" s="91"/>
      <c r="CK12" s="91"/>
      <c r="CL12" s="91"/>
      <c r="CM12" s="35"/>
      <c r="CN12" s="92"/>
      <c r="CO12" s="91"/>
      <c r="CP12" s="91"/>
      <c r="CQ12" s="91"/>
      <c r="CR12" s="35"/>
      <c r="CS12" s="92"/>
      <c r="CT12" s="91"/>
      <c r="CU12" s="91"/>
      <c r="CV12" s="91"/>
      <c r="CW12" s="35"/>
      <c r="CX12" s="92"/>
      <c r="CY12" s="91"/>
      <c r="CZ12" s="91"/>
      <c r="DA12" s="91"/>
      <c r="DB12" s="35"/>
      <c r="DC12" s="92"/>
      <c r="DD12" s="91"/>
      <c r="DE12" s="91"/>
      <c r="DF12" s="91"/>
      <c r="DG12" s="36"/>
      <c r="DH12" s="92"/>
      <c r="DI12" s="91"/>
      <c r="DJ12" s="91"/>
      <c r="DK12" s="91"/>
      <c r="DL12" s="35"/>
      <c r="DM12" s="60"/>
      <c r="DN12" s="36"/>
      <c r="DO12" s="36"/>
      <c r="DP12" s="36"/>
      <c r="DQ12" s="35"/>
      <c r="DR12" s="92"/>
      <c r="DS12" s="91"/>
      <c r="DT12" s="91"/>
      <c r="DU12" s="91"/>
      <c r="DV12" s="35"/>
      <c r="DW12" s="92"/>
      <c r="DX12" s="91"/>
      <c r="DY12" s="91"/>
      <c r="DZ12" s="91"/>
      <c r="EA12" s="35"/>
      <c r="EB12" s="92"/>
      <c r="EC12" s="91"/>
      <c r="ED12" s="91"/>
      <c r="EE12" s="91"/>
      <c r="EF12" s="35"/>
      <c r="EG12" s="92"/>
      <c r="EH12" s="91"/>
      <c r="EI12" s="91"/>
      <c r="EJ12" s="91"/>
      <c r="EK12" s="35"/>
      <c r="EL12" s="91"/>
      <c r="EM12" s="91"/>
      <c r="EN12" s="91"/>
      <c r="EO12" s="91"/>
      <c r="EP12" s="35"/>
      <c r="EQ12" s="92"/>
      <c r="ER12" s="91"/>
      <c r="ES12" s="91"/>
      <c r="ET12" s="91"/>
      <c r="EU12" s="35"/>
      <c r="EV12" s="92"/>
      <c r="EW12" s="91"/>
      <c r="EX12" s="91"/>
      <c r="EY12" s="91"/>
      <c r="EZ12" s="35"/>
    </row>
    <row r="13" spans="1:156" x14ac:dyDescent="0.25">
      <c r="A13" s="18" t="s">
        <v>273</v>
      </c>
      <c r="B13" s="9"/>
      <c r="C13" s="17"/>
      <c r="D13" s="17"/>
      <c r="E13" s="17"/>
      <c r="F13" s="35"/>
      <c r="G13" s="9"/>
      <c r="H13" s="17"/>
      <c r="I13" s="17"/>
      <c r="J13" s="17"/>
      <c r="K13" s="35"/>
      <c r="L13" s="9"/>
      <c r="M13" s="17"/>
      <c r="N13" s="17"/>
      <c r="O13" s="34"/>
      <c r="P13" s="17"/>
      <c r="Q13" s="9">
        <v>20</v>
      </c>
      <c r="R13">
        <v>0.05</v>
      </c>
      <c r="S13" s="17"/>
      <c r="T13" s="91">
        <v>24856.74</v>
      </c>
      <c r="U13" s="34">
        <v>6.5000000000000002E-2</v>
      </c>
      <c r="V13" s="9"/>
      <c r="W13" s="17"/>
      <c r="X13" s="17"/>
      <c r="Y13" s="17"/>
      <c r="Z13" s="35"/>
      <c r="AA13" s="92">
        <v>13</v>
      </c>
      <c r="AB13" s="17"/>
      <c r="AC13" s="17"/>
      <c r="AD13" s="91">
        <v>1597</v>
      </c>
      <c r="AE13" s="35">
        <v>2.8299999999999999E-2</v>
      </c>
      <c r="AF13" s="92">
        <v>3</v>
      </c>
      <c r="AG13" s="17"/>
      <c r="AH13" s="17"/>
      <c r="AI13" s="17"/>
      <c r="AJ13" s="35"/>
      <c r="AK13" s="92">
        <v>2</v>
      </c>
      <c r="AL13" s="17"/>
      <c r="AM13" s="17"/>
      <c r="AN13" s="91">
        <v>24.93</v>
      </c>
      <c r="AO13" s="35">
        <v>0.01</v>
      </c>
      <c r="AP13" s="92">
        <v>13</v>
      </c>
      <c r="AQ13" s="92">
        <v>-10</v>
      </c>
      <c r="AR13" s="17"/>
      <c r="AS13" s="92">
        <v>648</v>
      </c>
      <c r="AT13" s="35">
        <v>9.1999999999999998E-3</v>
      </c>
      <c r="AU13" s="92">
        <v>6</v>
      </c>
      <c r="AV13" s="17"/>
      <c r="AW13" s="17"/>
      <c r="AX13" s="91">
        <v>494</v>
      </c>
      <c r="AY13" s="35">
        <v>9.9000000000000008E-3</v>
      </c>
      <c r="AZ13" s="92">
        <v>19</v>
      </c>
      <c r="BA13" s="77"/>
      <c r="BB13" s="92"/>
      <c r="BC13" s="92">
        <v>4889</v>
      </c>
      <c r="BD13" s="35">
        <v>1.43E-2</v>
      </c>
      <c r="BE13" s="92">
        <v>21</v>
      </c>
      <c r="BF13" s="92"/>
      <c r="BG13" s="92"/>
      <c r="BH13" s="92">
        <v>12890</v>
      </c>
      <c r="BI13" s="117">
        <v>0.09</v>
      </c>
      <c r="BJ13" s="9"/>
      <c r="BK13" s="17"/>
      <c r="BL13" s="17"/>
      <c r="BM13" s="17"/>
      <c r="BN13" s="35"/>
      <c r="BO13" s="92">
        <v>6</v>
      </c>
      <c r="BP13" s="92"/>
      <c r="BQ13" s="92"/>
      <c r="BR13" s="92">
        <v>22</v>
      </c>
      <c r="BS13" s="35">
        <v>3.0000000000000001E-3</v>
      </c>
      <c r="BT13" s="9"/>
      <c r="BU13" s="17"/>
      <c r="BV13" s="17"/>
      <c r="BW13" s="17"/>
      <c r="BX13" s="35"/>
      <c r="BY13" s="92">
        <v>1</v>
      </c>
      <c r="BZ13" s="17"/>
      <c r="CA13" s="17"/>
      <c r="CB13" s="92">
        <v>20</v>
      </c>
      <c r="CC13" s="35"/>
      <c r="CD13" s="9"/>
      <c r="CE13" s="17"/>
      <c r="CF13" s="17"/>
      <c r="CG13" s="17"/>
      <c r="CH13" s="35"/>
      <c r="CI13" s="9"/>
      <c r="CJ13" s="17"/>
      <c r="CK13" s="17"/>
      <c r="CL13" s="17"/>
      <c r="CM13" s="35"/>
      <c r="CN13" s="92">
        <v>16</v>
      </c>
      <c r="CO13" s="92">
        <v>702</v>
      </c>
      <c r="CP13" s="92">
        <v>-10193</v>
      </c>
      <c r="CQ13" s="92">
        <v>9352</v>
      </c>
      <c r="CR13" s="35">
        <v>-1.9E-3</v>
      </c>
      <c r="CS13" s="9"/>
      <c r="CT13" s="17"/>
      <c r="CU13" s="17"/>
      <c r="CV13" s="17"/>
      <c r="CW13" s="35"/>
      <c r="CX13" s="9"/>
      <c r="CY13" s="17"/>
      <c r="CZ13" s="17"/>
      <c r="DA13" s="17"/>
      <c r="DB13" s="35"/>
      <c r="DC13" s="9">
        <v>22</v>
      </c>
      <c r="DD13" s="92"/>
      <c r="DE13" s="92"/>
      <c r="DF13" s="92">
        <v>6282</v>
      </c>
      <c r="DG13" s="35">
        <v>2.7699999999999999E-2</v>
      </c>
      <c r="DH13" s="92">
        <v>5</v>
      </c>
      <c r="DI13" s="17"/>
      <c r="DJ13" s="17"/>
      <c r="DK13" s="91">
        <v>240.38</v>
      </c>
      <c r="DL13" s="35">
        <v>5.5999999999999999E-3</v>
      </c>
      <c r="DM13" s="60">
        <v>17</v>
      </c>
      <c r="DN13" s="36"/>
      <c r="DO13" s="36"/>
      <c r="DP13" s="36">
        <v>24720.23</v>
      </c>
      <c r="DQ13" s="35">
        <v>0.1105</v>
      </c>
      <c r="DR13" s="92">
        <v>4</v>
      </c>
      <c r="DS13" s="17"/>
      <c r="DT13" s="17"/>
      <c r="DU13" s="91">
        <v>64.34</v>
      </c>
      <c r="DV13" s="35">
        <v>9.5999999999999992E-3</v>
      </c>
      <c r="DW13" s="9"/>
      <c r="DX13" s="17"/>
      <c r="DY13" s="17"/>
      <c r="DZ13" s="17"/>
      <c r="EA13" s="35"/>
      <c r="EB13" s="92">
        <v>11</v>
      </c>
      <c r="EC13" s="92"/>
      <c r="ED13" s="92"/>
      <c r="EE13" s="92">
        <v>1087</v>
      </c>
      <c r="EF13" s="117">
        <v>0.01</v>
      </c>
      <c r="EG13" s="9"/>
      <c r="EH13" s="17"/>
      <c r="EI13" s="17"/>
      <c r="EJ13" s="17"/>
      <c r="EK13" s="35"/>
      <c r="EL13" s="92">
        <v>19</v>
      </c>
      <c r="EM13" s="92">
        <v>-916</v>
      </c>
      <c r="EN13" s="91"/>
      <c r="EO13" s="92">
        <v>3687</v>
      </c>
      <c r="EP13" s="35">
        <v>2.23E-2</v>
      </c>
      <c r="EQ13" s="9">
        <v>27</v>
      </c>
      <c r="ER13" s="92">
        <v>62192</v>
      </c>
      <c r="ES13" s="92">
        <v>9355</v>
      </c>
      <c r="ET13" s="92">
        <v>33222</v>
      </c>
      <c r="EU13" s="35">
        <v>0.75309999999999999</v>
      </c>
      <c r="EV13" s="92">
        <v>4</v>
      </c>
      <c r="EW13" s="17"/>
      <c r="EX13" s="17"/>
      <c r="EY13" s="91">
        <v>1622.17</v>
      </c>
      <c r="EZ13" s="117">
        <v>0.02</v>
      </c>
    </row>
    <row r="14" spans="1:156" x14ac:dyDescent="0.25">
      <c r="A14" s="18" t="s">
        <v>274</v>
      </c>
      <c r="B14" s="92">
        <v>1</v>
      </c>
      <c r="C14" s="91">
        <v>3433.68</v>
      </c>
      <c r="D14" s="91">
        <v>71.150000000000006</v>
      </c>
      <c r="E14" s="17"/>
      <c r="F14" s="35"/>
      <c r="G14" s="9">
        <v>2</v>
      </c>
      <c r="H14" s="91">
        <v>6895</v>
      </c>
      <c r="I14" s="17"/>
      <c r="J14" s="17"/>
      <c r="K14" s="35">
        <v>0.77429999999999999</v>
      </c>
      <c r="L14" s="9">
        <v>6</v>
      </c>
      <c r="M14" s="91">
        <v>34985.199999999997</v>
      </c>
      <c r="N14" s="91">
        <v>3526.53</v>
      </c>
      <c r="O14" s="91">
        <v>21406.46</v>
      </c>
      <c r="P14" s="61">
        <v>0.14410000000000001</v>
      </c>
      <c r="Q14" s="9">
        <v>8</v>
      </c>
      <c r="R14" s="91">
        <v>73701.240000000005</v>
      </c>
      <c r="S14" s="91">
        <v>2696.77</v>
      </c>
      <c r="T14" s="91">
        <v>7288.15</v>
      </c>
      <c r="U14" s="34">
        <v>0.21870000000000001</v>
      </c>
      <c r="V14" s="9"/>
      <c r="W14" s="17"/>
      <c r="X14" s="17"/>
      <c r="Y14" s="17"/>
      <c r="Z14" s="35"/>
      <c r="AA14" s="92">
        <v>7</v>
      </c>
      <c r="AB14" s="91">
        <v>27204</v>
      </c>
      <c r="AC14" s="91">
        <v>685</v>
      </c>
      <c r="AD14" s="91">
        <v>568</v>
      </c>
      <c r="AE14" s="35">
        <v>0.50439999999999996</v>
      </c>
      <c r="AF14" s="92">
        <v>3</v>
      </c>
      <c r="AG14" s="91">
        <v>3417</v>
      </c>
      <c r="AH14" s="91">
        <v>1213</v>
      </c>
      <c r="AI14" s="17"/>
      <c r="AJ14" s="35">
        <v>0.47</v>
      </c>
      <c r="AK14" s="92">
        <v>3</v>
      </c>
      <c r="AL14" s="91">
        <v>392.14</v>
      </c>
      <c r="AM14" s="77"/>
      <c r="AN14" s="77"/>
      <c r="AO14" s="35">
        <v>0.14000000000000001</v>
      </c>
      <c r="AP14" s="92">
        <v>8</v>
      </c>
      <c r="AQ14" s="92">
        <v>14846</v>
      </c>
      <c r="AR14" s="92">
        <v>2651</v>
      </c>
      <c r="AS14" s="92">
        <v>264</v>
      </c>
      <c r="AT14" s="35">
        <v>0.25580000000000003</v>
      </c>
      <c r="AU14" s="92">
        <v>6</v>
      </c>
      <c r="AV14" s="91">
        <v>2639</v>
      </c>
      <c r="AW14" s="91">
        <v>3</v>
      </c>
      <c r="AX14" s="91">
        <v>729</v>
      </c>
      <c r="AY14" s="35">
        <v>6.7699999999999996E-2</v>
      </c>
      <c r="AZ14" s="92">
        <v>6</v>
      </c>
      <c r="BA14" s="92">
        <v>200366</v>
      </c>
      <c r="BB14" s="92">
        <v>4506</v>
      </c>
      <c r="BC14" s="92">
        <v>3774</v>
      </c>
      <c r="BD14" s="35">
        <v>0.60860000000000003</v>
      </c>
      <c r="BE14" s="92">
        <v>9</v>
      </c>
      <c r="BF14" s="92">
        <v>29482</v>
      </c>
      <c r="BG14" s="92">
        <v>1871</v>
      </c>
      <c r="BH14" s="92">
        <v>3143</v>
      </c>
      <c r="BI14" s="117">
        <v>0.24</v>
      </c>
      <c r="BJ14" s="9"/>
      <c r="BK14" s="17"/>
      <c r="BL14" s="17"/>
      <c r="BM14" s="17"/>
      <c r="BN14" s="35"/>
      <c r="BO14" s="92">
        <v>4</v>
      </c>
      <c r="BP14" s="92">
        <v>3133</v>
      </c>
      <c r="BQ14" s="92">
        <v>131</v>
      </c>
      <c r="BR14" s="92">
        <v>48</v>
      </c>
      <c r="BS14" s="35">
        <v>0.46300000000000002</v>
      </c>
      <c r="BT14" s="9"/>
      <c r="BU14" s="17"/>
      <c r="BV14" s="17"/>
      <c r="BW14" s="17"/>
      <c r="BX14" s="35"/>
      <c r="BY14" s="92">
        <v>5</v>
      </c>
      <c r="BZ14" s="92">
        <v>9053</v>
      </c>
      <c r="CA14" s="92">
        <v>101</v>
      </c>
      <c r="CB14" s="92">
        <v>22</v>
      </c>
      <c r="CC14" s="117">
        <v>0.34</v>
      </c>
      <c r="CD14" s="9">
        <v>1</v>
      </c>
      <c r="CE14" s="91">
        <v>41.98</v>
      </c>
      <c r="CF14" s="91">
        <v>34.950000000000003</v>
      </c>
      <c r="CG14" s="91">
        <v>8.9600000000000009</v>
      </c>
      <c r="CH14" s="117">
        <v>0.04</v>
      </c>
      <c r="CI14" s="92">
        <v>3</v>
      </c>
      <c r="CJ14" s="92">
        <v>19471</v>
      </c>
      <c r="CK14" s="92">
        <v>23</v>
      </c>
      <c r="CL14" s="17"/>
      <c r="CM14" s="117">
        <v>0.67</v>
      </c>
      <c r="CN14" s="92">
        <v>7</v>
      </c>
      <c r="CO14" s="92">
        <v>0</v>
      </c>
      <c r="CP14" s="92">
        <v>1028</v>
      </c>
      <c r="CQ14" s="92">
        <v>647</v>
      </c>
      <c r="CR14" s="35">
        <v>2.3E-2</v>
      </c>
      <c r="CS14" s="92">
        <v>3</v>
      </c>
      <c r="CT14" s="92">
        <v>-11</v>
      </c>
      <c r="CU14" s="92"/>
      <c r="CV14" s="17"/>
      <c r="CW14" s="35">
        <v>-1.9900000000000001E-2</v>
      </c>
      <c r="CX14" s="92">
        <v>1</v>
      </c>
      <c r="CY14" s="17"/>
      <c r="CZ14" s="17"/>
      <c r="DA14" s="91">
        <v>7.83</v>
      </c>
      <c r="DB14" s="35">
        <v>2.0999999999999999E-3</v>
      </c>
      <c r="DC14" s="9">
        <v>8</v>
      </c>
      <c r="DD14" s="92">
        <v>19837</v>
      </c>
      <c r="DE14" s="92">
        <v>962</v>
      </c>
      <c r="DF14" s="92">
        <v>1187</v>
      </c>
      <c r="DG14" s="35">
        <v>9.7100000000000006E-2</v>
      </c>
      <c r="DH14" s="92">
        <v>6</v>
      </c>
      <c r="DI14" s="91">
        <v>15960.22</v>
      </c>
      <c r="DJ14" s="91">
        <v>476.2</v>
      </c>
      <c r="DK14" s="91">
        <v>57.33</v>
      </c>
      <c r="DL14" s="35">
        <v>0.38379999999999997</v>
      </c>
      <c r="DM14" s="60">
        <v>10</v>
      </c>
      <c r="DN14" s="36">
        <v>30310.6</v>
      </c>
      <c r="DO14" s="36">
        <v>2062.7800000000002</v>
      </c>
      <c r="DP14" s="36">
        <v>10957.4</v>
      </c>
      <c r="DQ14" s="35">
        <v>0.19370000000000001</v>
      </c>
      <c r="DR14" s="92">
        <v>2</v>
      </c>
      <c r="DS14" s="91">
        <v>17.55</v>
      </c>
      <c r="DT14" s="91">
        <v>11.13</v>
      </c>
      <c r="DU14" s="17"/>
      <c r="DV14" s="35">
        <v>4.3E-3</v>
      </c>
      <c r="DW14" s="92">
        <v>3</v>
      </c>
      <c r="DX14" s="17"/>
      <c r="DY14" s="91">
        <v>1379</v>
      </c>
      <c r="DZ14" s="17"/>
      <c r="EA14" s="35">
        <v>0.05</v>
      </c>
      <c r="EB14" s="92">
        <v>8</v>
      </c>
      <c r="EC14" s="92">
        <v>44753</v>
      </c>
      <c r="ED14" s="92">
        <v>3096</v>
      </c>
      <c r="EE14" s="92">
        <v>4053</v>
      </c>
      <c r="EF14" s="117">
        <v>0.35</v>
      </c>
      <c r="EG14" s="9"/>
      <c r="EH14" s="17"/>
      <c r="EI14" s="17"/>
      <c r="EJ14" s="17"/>
      <c r="EK14" s="35"/>
      <c r="EL14" s="92">
        <v>8</v>
      </c>
      <c r="EM14" s="92">
        <v>1074</v>
      </c>
      <c r="EN14" s="92">
        <v>1087</v>
      </c>
      <c r="EO14" s="92">
        <v>2180</v>
      </c>
      <c r="EP14" s="35">
        <v>3.49E-2</v>
      </c>
      <c r="EQ14" s="9"/>
      <c r="ER14" s="17"/>
      <c r="ES14" s="17"/>
      <c r="ET14" s="17"/>
      <c r="EU14" s="35"/>
      <c r="EV14" s="92">
        <v>5</v>
      </c>
      <c r="EW14" s="91">
        <v>18680.8</v>
      </c>
      <c r="EX14" s="91">
        <v>173.41</v>
      </c>
      <c r="EY14" s="91">
        <v>22.92</v>
      </c>
      <c r="EZ14" s="117">
        <v>0.2</v>
      </c>
    </row>
    <row r="15" spans="1:156" x14ac:dyDescent="0.25">
      <c r="A15" s="18" t="s">
        <v>275</v>
      </c>
      <c r="B15" s="92">
        <v>1</v>
      </c>
      <c r="C15" s="91">
        <v>5973.97</v>
      </c>
      <c r="D15" s="91">
        <v>71.150000000000006</v>
      </c>
      <c r="E15" s="91">
        <v>3.34</v>
      </c>
      <c r="F15" s="35"/>
      <c r="G15" s="9">
        <v>1</v>
      </c>
      <c r="H15" s="91">
        <v>1988</v>
      </c>
      <c r="I15" s="17"/>
      <c r="J15" s="17"/>
      <c r="K15" s="35">
        <v>0.22320000000000001</v>
      </c>
      <c r="L15" s="9"/>
      <c r="M15" s="91">
        <v>204987.89</v>
      </c>
      <c r="N15" s="91">
        <v>321.17</v>
      </c>
      <c r="O15" s="34"/>
      <c r="P15" s="61">
        <v>0.49370000000000003</v>
      </c>
      <c r="Q15" s="9">
        <v>1</v>
      </c>
      <c r="R15" s="91">
        <v>99163.23</v>
      </c>
      <c r="S15" s="91">
        <v>5244.9</v>
      </c>
      <c r="T15" s="91">
        <v>6821.97</v>
      </c>
      <c r="U15" s="34">
        <v>0.29070000000000001</v>
      </c>
      <c r="V15" s="9"/>
      <c r="W15" s="17"/>
      <c r="X15" s="17"/>
      <c r="Y15" s="17"/>
      <c r="Z15" s="35"/>
      <c r="AA15" s="92">
        <v>1</v>
      </c>
      <c r="AB15" s="91">
        <v>14778</v>
      </c>
      <c r="AC15" s="91">
        <v>414</v>
      </c>
      <c r="AD15" s="91">
        <v>208</v>
      </c>
      <c r="AE15" s="35">
        <v>0.27289999999999998</v>
      </c>
      <c r="AF15" s="92">
        <v>1</v>
      </c>
      <c r="AG15" s="91">
        <v>3978</v>
      </c>
      <c r="AH15" s="91">
        <v>196</v>
      </c>
      <c r="AI15" s="17"/>
      <c r="AJ15" s="35">
        <v>0.43</v>
      </c>
      <c r="AK15" s="92">
        <v>1</v>
      </c>
      <c r="AL15" s="91">
        <v>1975.82</v>
      </c>
      <c r="AM15" s="91">
        <v>325.66000000000003</v>
      </c>
      <c r="AN15" s="77"/>
      <c r="AO15" s="35">
        <v>0.81</v>
      </c>
      <c r="AP15" s="92">
        <v>1</v>
      </c>
      <c r="AQ15" s="92">
        <v>28439</v>
      </c>
      <c r="AR15" s="92">
        <v>2950</v>
      </c>
      <c r="AS15" s="92">
        <v>131</v>
      </c>
      <c r="AT15" s="35">
        <v>0.45400000000000001</v>
      </c>
      <c r="AU15" s="92">
        <v>1</v>
      </c>
      <c r="AV15" s="91">
        <v>10233</v>
      </c>
      <c r="AW15" s="91">
        <v>-246</v>
      </c>
      <c r="AX15" s="91">
        <v>289</v>
      </c>
      <c r="AY15" s="35">
        <v>0.2064</v>
      </c>
      <c r="AZ15" s="92">
        <v>1</v>
      </c>
      <c r="BA15" s="92">
        <v>85672</v>
      </c>
      <c r="BB15" s="92">
        <v>3534</v>
      </c>
      <c r="BC15" s="92">
        <v>2074</v>
      </c>
      <c r="BD15" s="35">
        <v>0.26619999999999999</v>
      </c>
      <c r="BE15" s="92">
        <v>1</v>
      </c>
      <c r="BF15" s="92">
        <v>59733</v>
      </c>
      <c r="BG15" s="92">
        <v>5610</v>
      </c>
      <c r="BH15" s="92">
        <v>2307</v>
      </c>
      <c r="BI15" s="117">
        <v>0.46</v>
      </c>
      <c r="BJ15" s="9"/>
      <c r="BK15" s="17"/>
      <c r="BL15" s="17"/>
      <c r="BM15" s="17"/>
      <c r="BN15" s="35"/>
      <c r="BO15" s="92">
        <v>1</v>
      </c>
      <c r="BP15" s="92">
        <v>2778</v>
      </c>
      <c r="BQ15" s="92">
        <v>270</v>
      </c>
      <c r="BR15" s="92"/>
      <c r="BS15" s="35">
        <v>0.53300000000000003</v>
      </c>
      <c r="BT15" s="9"/>
      <c r="BU15" s="17"/>
      <c r="BV15" s="17"/>
      <c r="BW15" s="17"/>
      <c r="BX15" s="35"/>
      <c r="BY15" s="92">
        <v>1</v>
      </c>
      <c r="BZ15" s="92">
        <v>10781</v>
      </c>
      <c r="CA15" s="92">
        <v>317</v>
      </c>
      <c r="CB15" s="92">
        <v>5</v>
      </c>
      <c r="CC15" s="117">
        <v>0.41</v>
      </c>
      <c r="CD15" s="9">
        <v>1</v>
      </c>
      <c r="CE15" s="91">
        <v>2207.84</v>
      </c>
      <c r="CF15" s="91">
        <v>21.43</v>
      </c>
      <c r="CG15" s="17"/>
      <c r="CH15" s="117">
        <v>0.96</v>
      </c>
      <c r="CI15" s="92">
        <v>1</v>
      </c>
      <c r="CJ15" s="92">
        <v>9703</v>
      </c>
      <c r="CK15" s="92">
        <v>23</v>
      </c>
      <c r="CL15" s="17"/>
      <c r="CM15" s="117">
        <v>0.33</v>
      </c>
      <c r="CN15" s="92">
        <v>1</v>
      </c>
      <c r="CO15" s="92">
        <v>38560</v>
      </c>
      <c r="CP15" s="92">
        <v>7834</v>
      </c>
      <c r="CQ15" s="92">
        <v>997</v>
      </c>
      <c r="CR15" s="35">
        <v>0.65</v>
      </c>
      <c r="CS15" s="92">
        <v>1</v>
      </c>
      <c r="CT15" s="92">
        <v>253</v>
      </c>
      <c r="CU15" s="92">
        <v>114</v>
      </c>
      <c r="CV15" s="17"/>
      <c r="CW15" s="35">
        <v>0.66639999999999999</v>
      </c>
      <c r="CX15" s="92">
        <v>1</v>
      </c>
      <c r="CY15" s="91">
        <v>2492.25</v>
      </c>
      <c r="CZ15" s="91">
        <v>1027.55</v>
      </c>
      <c r="DA15" s="91">
        <v>49.04</v>
      </c>
      <c r="DB15" s="35">
        <v>0.95779999999999998</v>
      </c>
      <c r="DC15" s="9">
        <v>2</v>
      </c>
      <c r="DD15" s="92">
        <v>123615</v>
      </c>
      <c r="DE15" s="92">
        <v>7233</v>
      </c>
      <c r="DF15" s="92">
        <v>3764</v>
      </c>
      <c r="DG15" s="35">
        <v>0.59440000000000004</v>
      </c>
      <c r="DH15" s="92">
        <v>1</v>
      </c>
      <c r="DI15" s="91">
        <v>13912.92</v>
      </c>
      <c r="DJ15" s="91">
        <v>382.28</v>
      </c>
      <c r="DK15" s="91">
        <v>144.68</v>
      </c>
      <c r="DL15" s="35">
        <v>0.33600000000000002</v>
      </c>
      <c r="DM15" s="60">
        <v>1</v>
      </c>
      <c r="DN15" s="36">
        <v>103587.31</v>
      </c>
      <c r="DO15" s="36">
        <v>4633.16</v>
      </c>
      <c r="DP15" s="36">
        <v>73.87</v>
      </c>
      <c r="DQ15" s="35">
        <v>0.48399999999999999</v>
      </c>
      <c r="DR15" s="92">
        <v>1</v>
      </c>
      <c r="DS15" s="91">
        <v>4863.79</v>
      </c>
      <c r="DT15" s="91">
        <v>426.92</v>
      </c>
      <c r="DU15" s="91">
        <v>7.59</v>
      </c>
      <c r="DV15" s="35">
        <v>0.79110000000000003</v>
      </c>
      <c r="DW15" s="92">
        <v>1</v>
      </c>
      <c r="DX15" s="91">
        <v>25380</v>
      </c>
      <c r="DY15" s="91">
        <v>2328</v>
      </c>
      <c r="DZ15" s="17"/>
      <c r="EA15" s="35">
        <v>0.95</v>
      </c>
      <c r="EB15" s="92">
        <v>1</v>
      </c>
      <c r="EC15" s="92">
        <v>39198</v>
      </c>
      <c r="ED15" s="92">
        <v>957</v>
      </c>
      <c r="EE15" s="92">
        <v>4446</v>
      </c>
      <c r="EF15" s="117">
        <v>0.3</v>
      </c>
      <c r="EG15" s="9"/>
      <c r="EH15" s="17"/>
      <c r="EI15" s="17"/>
      <c r="EJ15" s="17"/>
      <c r="EK15" s="35"/>
      <c r="EL15" s="92">
        <v>1</v>
      </c>
      <c r="EM15" s="92">
        <v>62146</v>
      </c>
      <c r="EN15" s="92">
        <v>5457</v>
      </c>
      <c r="EO15" s="92">
        <v>18113</v>
      </c>
      <c r="EP15" s="35">
        <v>0.68969999999999998</v>
      </c>
      <c r="EQ15" s="9"/>
      <c r="ER15" s="17"/>
      <c r="ES15" s="17"/>
      <c r="ET15" s="17"/>
      <c r="EU15" s="35"/>
      <c r="EV15" s="92">
        <v>1</v>
      </c>
      <c r="EW15" s="91">
        <v>33036.9</v>
      </c>
      <c r="EX15" s="91">
        <v>2078.0100000000002</v>
      </c>
      <c r="EY15" s="91">
        <v>265.95999999999998</v>
      </c>
      <c r="EZ15" s="117">
        <v>0.37</v>
      </c>
    </row>
    <row r="16" spans="1:156" x14ac:dyDescent="0.25">
      <c r="A16" s="17" t="s">
        <v>31</v>
      </c>
      <c r="B16" s="9"/>
      <c r="C16" s="17"/>
      <c r="D16" s="17"/>
      <c r="E16" s="17"/>
      <c r="F16" s="35"/>
      <c r="G16" s="9"/>
      <c r="H16" s="17"/>
      <c r="I16" s="17"/>
      <c r="J16" s="17"/>
      <c r="K16" s="35"/>
      <c r="L16" s="9"/>
      <c r="M16" s="17"/>
      <c r="N16" s="17"/>
      <c r="O16" s="34"/>
      <c r="P16" s="17"/>
      <c r="Q16" s="9"/>
      <c r="R16" s="17"/>
      <c r="S16" s="17"/>
      <c r="T16" s="17"/>
      <c r="U16" s="35"/>
      <c r="V16" s="9"/>
      <c r="W16" s="17"/>
      <c r="X16" s="17"/>
      <c r="Y16" s="17"/>
      <c r="Z16" s="35"/>
      <c r="AA16" s="9"/>
      <c r="AB16" s="17"/>
      <c r="AC16" s="17"/>
      <c r="AD16" s="17"/>
      <c r="AE16" s="35"/>
      <c r="AF16" s="9"/>
      <c r="AG16" s="17"/>
      <c r="AH16" s="17"/>
      <c r="AI16" s="17"/>
      <c r="AJ16" s="35"/>
      <c r="AK16" s="9"/>
      <c r="AL16" s="17"/>
      <c r="AM16" s="17"/>
      <c r="AN16" s="17"/>
      <c r="AO16" s="35"/>
      <c r="AP16" s="9"/>
      <c r="AQ16" s="17"/>
      <c r="AR16" s="17"/>
      <c r="AS16" s="17"/>
      <c r="AT16" s="35"/>
      <c r="AU16" s="9">
        <v>2</v>
      </c>
      <c r="AV16" s="17"/>
      <c r="AW16" s="17">
        <v>1161</v>
      </c>
      <c r="AX16" s="77">
        <v>10</v>
      </c>
      <c r="AY16" s="35">
        <v>2.35E-2</v>
      </c>
      <c r="AZ16" s="9"/>
      <c r="BA16" s="17"/>
      <c r="BB16" s="17"/>
      <c r="BC16" s="17"/>
      <c r="BD16" s="35"/>
      <c r="BE16" s="9"/>
      <c r="BF16" s="17"/>
      <c r="BG16" s="17"/>
      <c r="BH16" s="17"/>
      <c r="BI16" s="35"/>
      <c r="BJ16" s="9"/>
      <c r="BK16" s="17"/>
      <c r="BL16" s="17"/>
      <c r="BM16" s="17"/>
      <c r="BN16" s="35"/>
      <c r="BO16" s="9"/>
      <c r="BP16" s="17"/>
      <c r="BQ16" s="17"/>
      <c r="BR16" s="17"/>
      <c r="BS16" s="35"/>
      <c r="BT16" s="9"/>
      <c r="BU16" s="17"/>
      <c r="BV16" s="17"/>
      <c r="BW16" s="17"/>
      <c r="BX16" s="35"/>
      <c r="BY16" s="9"/>
      <c r="BZ16" s="17"/>
      <c r="CA16" s="17"/>
      <c r="CB16" s="17"/>
      <c r="CC16" s="35"/>
      <c r="CD16" s="9"/>
      <c r="CE16" s="17"/>
      <c r="CF16" s="17"/>
      <c r="CG16" s="17"/>
      <c r="CH16" s="35"/>
      <c r="CI16" s="9"/>
      <c r="CJ16" s="17"/>
      <c r="CK16" s="17"/>
      <c r="CL16" s="17"/>
      <c r="CM16" s="35"/>
      <c r="CN16" s="9"/>
      <c r="CO16" s="17"/>
      <c r="CP16" s="17"/>
      <c r="CQ16" s="17"/>
      <c r="CR16" s="34"/>
      <c r="CS16" s="9"/>
      <c r="CT16" s="17"/>
      <c r="CU16" s="17"/>
      <c r="CV16" s="17"/>
      <c r="CW16" s="35"/>
      <c r="CX16" s="9"/>
      <c r="CY16" s="17"/>
      <c r="CZ16" s="17"/>
      <c r="DA16" s="17"/>
      <c r="DB16" s="35"/>
      <c r="DC16" s="9"/>
      <c r="DD16" s="17"/>
      <c r="DE16" s="17"/>
      <c r="DF16" s="17"/>
      <c r="DG16" s="35"/>
      <c r="DH16" s="9"/>
      <c r="DI16" s="17"/>
      <c r="DJ16" s="17"/>
      <c r="DK16" s="17"/>
      <c r="DL16" s="35"/>
      <c r="DM16" s="60"/>
      <c r="DN16" s="36"/>
      <c r="DO16" s="36"/>
      <c r="DP16" s="36"/>
      <c r="DQ16" s="35"/>
      <c r="DR16" s="9"/>
      <c r="DS16" s="17"/>
      <c r="DT16" s="17"/>
      <c r="DU16" s="17"/>
      <c r="DV16" s="17"/>
      <c r="DW16" s="9"/>
      <c r="DX16" s="17"/>
      <c r="DY16" s="17"/>
      <c r="DZ16" s="17"/>
      <c r="EA16" s="35"/>
      <c r="EB16" s="76"/>
      <c r="EC16" s="77"/>
      <c r="ED16" s="77"/>
      <c r="EE16" s="77"/>
      <c r="EF16" s="35"/>
      <c r="EG16" s="9"/>
      <c r="EH16" s="17"/>
      <c r="EI16" s="17"/>
      <c r="EJ16" s="17"/>
      <c r="EK16" s="35"/>
      <c r="EL16" s="92">
        <v>8</v>
      </c>
      <c r="EM16" s="92">
        <f>745+7511</f>
        <v>8256</v>
      </c>
      <c r="EN16" s="92">
        <v>34</v>
      </c>
      <c r="EO16" s="142">
        <v>0.2</v>
      </c>
      <c r="EP16" s="35">
        <v>6.6699999999999995E-2</v>
      </c>
      <c r="EQ16" s="9"/>
      <c r="ER16" s="17"/>
      <c r="ES16" s="17"/>
      <c r="ET16" s="17"/>
      <c r="EU16" s="35"/>
      <c r="EV16" s="9"/>
      <c r="EW16" s="17"/>
      <c r="EX16" s="17"/>
      <c r="EY16" s="17"/>
      <c r="EZ16" s="35"/>
    </row>
    <row r="17" spans="1:156" s="40" customFormat="1" x14ac:dyDescent="0.25">
      <c r="A17" s="19" t="s">
        <v>276</v>
      </c>
      <c r="B17" s="115">
        <f t="shared" ref="B17:BM17" si="3">B13+B14+B15+B16</f>
        <v>2</v>
      </c>
      <c r="C17" s="82">
        <f t="shared" si="3"/>
        <v>9407.65</v>
      </c>
      <c r="D17" s="82">
        <f t="shared" si="3"/>
        <v>142.30000000000001</v>
      </c>
      <c r="E17" s="82">
        <f t="shared" si="3"/>
        <v>3.34</v>
      </c>
      <c r="F17" s="115">
        <f t="shared" si="3"/>
        <v>0</v>
      </c>
      <c r="G17" s="115">
        <f t="shared" si="3"/>
        <v>3</v>
      </c>
      <c r="H17" s="115">
        <f t="shared" si="3"/>
        <v>8883</v>
      </c>
      <c r="I17" s="115">
        <f t="shared" si="3"/>
        <v>0</v>
      </c>
      <c r="J17" s="115">
        <f t="shared" si="3"/>
        <v>0</v>
      </c>
      <c r="K17" s="62">
        <f t="shared" si="3"/>
        <v>0.99750000000000005</v>
      </c>
      <c r="L17" s="115">
        <f t="shared" si="3"/>
        <v>6</v>
      </c>
      <c r="M17" s="115">
        <f t="shared" si="3"/>
        <v>239973.09000000003</v>
      </c>
      <c r="N17" s="115">
        <f t="shared" si="3"/>
        <v>3847.7000000000003</v>
      </c>
      <c r="O17" s="115">
        <f t="shared" si="3"/>
        <v>21406.46</v>
      </c>
      <c r="P17" s="37">
        <f t="shared" si="3"/>
        <v>0.63780000000000003</v>
      </c>
      <c r="Q17" s="115">
        <f t="shared" si="3"/>
        <v>29</v>
      </c>
      <c r="R17" s="82">
        <f t="shared" si="3"/>
        <v>172864.52000000002</v>
      </c>
      <c r="S17" s="82">
        <f t="shared" si="3"/>
        <v>7941.67</v>
      </c>
      <c r="T17" s="82">
        <f t="shared" si="3"/>
        <v>38966.86</v>
      </c>
      <c r="U17" s="37">
        <f t="shared" si="3"/>
        <v>0.57440000000000002</v>
      </c>
      <c r="V17" s="115">
        <f t="shared" si="3"/>
        <v>0</v>
      </c>
      <c r="W17" s="115">
        <f t="shared" si="3"/>
        <v>0</v>
      </c>
      <c r="X17" s="115">
        <f t="shared" si="3"/>
        <v>0</v>
      </c>
      <c r="Y17" s="115">
        <f t="shared" si="3"/>
        <v>0</v>
      </c>
      <c r="Z17" s="62">
        <f t="shared" si="3"/>
        <v>0</v>
      </c>
      <c r="AA17" s="115">
        <f t="shared" si="3"/>
        <v>21</v>
      </c>
      <c r="AB17" s="115">
        <f t="shared" si="3"/>
        <v>41982</v>
      </c>
      <c r="AC17" s="115">
        <f t="shared" si="3"/>
        <v>1099</v>
      </c>
      <c r="AD17" s="115">
        <f t="shared" si="3"/>
        <v>2373</v>
      </c>
      <c r="AE17" s="37">
        <f t="shared" si="3"/>
        <v>0.80559999999999987</v>
      </c>
      <c r="AF17" s="115">
        <f t="shared" si="3"/>
        <v>7</v>
      </c>
      <c r="AG17" s="115">
        <f t="shared" si="3"/>
        <v>7395</v>
      </c>
      <c r="AH17" s="115">
        <f t="shared" si="3"/>
        <v>1409</v>
      </c>
      <c r="AI17" s="115">
        <f t="shared" si="3"/>
        <v>0</v>
      </c>
      <c r="AJ17" s="62">
        <f t="shared" si="3"/>
        <v>0.89999999999999991</v>
      </c>
      <c r="AK17" s="115">
        <f t="shared" si="3"/>
        <v>6</v>
      </c>
      <c r="AL17" s="115">
        <f t="shared" si="3"/>
        <v>2367.96</v>
      </c>
      <c r="AM17" s="115">
        <f t="shared" si="3"/>
        <v>325.66000000000003</v>
      </c>
      <c r="AN17" s="115">
        <f t="shared" si="3"/>
        <v>24.93</v>
      </c>
      <c r="AO17" s="62">
        <f t="shared" si="3"/>
        <v>0.96000000000000008</v>
      </c>
      <c r="AP17" s="115">
        <f t="shared" si="3"/>
        <v>22</v>
      </c>
      <c r="AQ17" s="115">
        <f t="shared" si="3"/>
        <v>43275</v>
      </c>
      <c r="AR17" s="115">
        <f t="shared" si="3"/>
        <v>5601</v>
      </c>
      <c r="AS17" s="115">
        <f t="shared" si="3"/>
        <v>1043</v>
      </c>
      <c r="AT17" s="37">
        <f t="shared" si="3"/>
        <v>0.71900000000000008</v>
      </c>
      <c r="AU17" s="115">
        <f t="shared" si="3"/>
        <v>15</v>
      </c>
      <c r="AV17" s="115">
        <f t="shared" si="3"/>
        <v>12872</v>
      </c>
      <c r="AW17" s="115">
        <f t="shared" si="3"/>
        <v>918</v>
      </c>
      <c r="AX17" s="115">
        <f t="shared" si="3"/>
        <v>1522</v>
      </c>
      <c r="AY17" s="37">
        <f t="shared" si="3"/>
        <v>0.30750000000000005</v>
      </c>
      <c r="AZ17" s="115">
        <f t="shared" si="3"/>
        <v>26</v>
      </c>
      <c r="BA17" s="115">
        <f t="shared" si="3"/>
        <v>286038</v>
      </c>
      <c r="BB17" s="115">
        <f t="shared" si="3"/>
        <v>8040</v>
      </c>
      <c r="BC17" s="115">
        <f t="shared" si="3"/>
        <v>10737</v>
      </c>
      <c r="BD17" s="37">
        <f t="shared" si="3"/>
        <v>0.8891</v>
      </c>
      <c r="BE17" s="115">
        <f t="shared" si="3"/>
        <v>31</v>
      </c>
      <c r="BF17" s="115">
        <f t="shared" si="3"/>
        <v>89215</v>
      </c>
      <c r="BG17" s="115">
        <f t="shared" si="3"/>
        <v>7481</v>
      </c>
      <c r="BH17" s="115">
        <f t="shared" si="3"/>
        <v>18340</v>
      </c>
      <c r="BI17" s="62">
        <f t="shared" si="3"/>
        <v>0.79</v>
      </c>
      <c r="BJ17" s="115">
        <f t="shared" si="3"/>
        <v>0</v>
      </c>
      <c r="BK17" s="115">
        <f t="shared" si="3"/>
        <v>0</v>
      </c>
      <c r="BL17" s="115">
        <f t="shared" si="3"/>
        <v>0</v>
      </c>
      <c r="BM17" s="115">
        <f t="shared" si="3"/>
        <v>0</v>
      </c>
      <c r="BN17" s="115">
        <f t="shared" ref="BN17:DY17" si="4">BN13+BN14+BN15+BN16</f>
        <v>0</v>
      </c>
      <c r="BO17" s="115">
        <f t="shared" si="4"/>
        <v>11</v>
      </c>
      <c r="BP17" s="115">
        <f t="shared" si="4"/>
        <v>5911</v>
      </c>
      <c r="BQ17" s="115">
        <f t="shared" si="4"/>
        <v>401</v>
      </c>
      <c r="BR17" s="115">
        <f t="shared" si="4"/>
        <v>70</v>
      </c>
      <c r="BS17" s="62">
        <f t="shared" si="4"/>
        <v>0.99900000000000011</v>
      </c>
      <c r="BT17" s="115">
        <f t="shared" si="4"/>
        <v>0</v>
      </c>
      <c r="BU17" s="115">
        <f t="shared" si="4"/>
        <v>0</v>
      </c>
      <c r="BV17" s="115">
        <f t="shared" si="4"/>
        <v>0</v>
      </c>
      <c r="BW17" s="115">
        <f t="shared" si="4"/>
        <v>0</v>
      </c>
      <c r="BX17" s="115">
        <f t="shared" si="4"/>
        <v>0</v>
      </c>
      <c r="BY17" s="115">
        <f t="shared" si="4"/>
        <v>7</v>
      </c>
      <c r="BZ17" s="115">
        <f t="shared" si="4"/>
        <v>19834</v>
      </c>
      <c r="CA17" s="115">
        <f t="shared" si="4"/>
        <v>418</v>
      </c>
      <c r="CB17" s="115">
        <f t="shared" si="4"/>
        <v>47</v>
      </c>
      <c r="CC17" s="62">
        <f t="shared" si="4"/>
        <v>0.75</v>
      </c>
      <c r="CD17" s="115">
        <f t="shared" si="4"/>
        <v>2</v>
      </c>
      <c r="CE17" s="82">
        <f t="shared" si="4"/>
        <v>2249.8200000000002</v>
      </c>
      <c r="CF17" s="82">
        <f t="shared" si="4"/>
        <v>56.38</v>
      </c>
      <c r="CG17" s="82">
        <f t="shared" si="4"/>
        <v>8.9600000000000009</v>
      </c>
      <c r="CH17" s="62">
        <f t="shared" si="4"/>
        <v>1</v>
      </c>
      <c r="CI17" s="115">
        <f t="shared" si="4"/>
        <v>4</v>
      </c>
      <c r="CJ17" s="115">
        <f t="shared" si="4"/>
        <v>29174</v>
      </c>
      <c r="CK17" s="115">
        <f t="shared" si="4"/>
        <v>46</v>
      </c>
      <c r="CL17" s="115">
        <f t="shared" si="4"/>
        <v>0</v>
      </c>
      <c r="CM17" s="62">
        <f t="shared" si="4"/>
        <v>1</v>
      </c>
      <c r="CN17" s="115">
        <f t="shared" si="4"/>
        <v>24</v>
      </c>
      <c r="CO17" s="115">
        <f t="shared" si="4"/>
        <v>39262</v>
      </c>
      <c r="CP17" s="115">
        <f t="shared" si="4"/>
        <v>-1331</v>
      </c>
      <c r="CQ17" s="115">
        <f t="shared" si="4"/>
        <v>10996</v>
      </c>
      <c r="CR17" s="37">
        <f t="shared" si="4"/>
        <v>0.67110000000000003</v>
      </c>
      <c r="CS17" s="115">
        <f t="shared" si="4"/>
        <v>4</v>
      </c>
      <c r="CT17" s="115">
        <f t="shared" si="4"/>
        <v>242</v>
      </c>
      <c r="CU17" s="115">
        <f t="shared" si="4"/>
        <v>114</v>
      </c>
      <c r="CV17" s="115">
        <f t="shared" si="4"/>
        <v>0</v>
      </c>
      <c r="CW17" s="62">
        <f t="shared" si="4"/>
        <v>0.64649999999999996</v>
      </c>
      <c r="CX17" s="115">
        <f t="shared" si="4"/>
        <v>2</v>
      </c>
      <c r="CY17" s="82">
        <f t="shared" si="4"/>
        <v>2492.25</v>
      </c>
      <c r="CZ17" s="82">
        <f t="shared" si="4"/>
        <v>1027.55</v>
      </c>
      <c r="DA17" s="82">
        <f t="shared" si="4"/>
        <v>56.87</v>
      </c>
      <c r="DB17" s="37">
        <f t="shared" si="4"/>
        <v>0.95989999999999998</v>
      </c>
      <c r="DC17" s="115">
        <f t="shared" si="4"/>
        <v>32</v>
      </c>
      <c r="DD17" s="115">
        <f t="shared" si="4"/>
        <v>143452</v>
      </c>
      <c r="DE17" s="115">
        <f t="shared" si="4"/>
        <v>8195</v>
      </c>
      <c r="DF17" s="115">
        <f t="shared" si="4"/>
        <v>11233</v>
      </c>
      <c r="DG17" s="37">
        <f t="shared" si="4"/>
        <v>0.71920000000000006</v>
      </c>
      <c r="DH17" s="115">
        <f t="shared" si="4"/>
        <v>12</v>
      </c>
      <c r="DI17" s="82">
        <f t="shared" si="4"/>
        <v>29873.14</v>
      </c>
      <c r="DJ17" s="82">
        <f t="shared" si="4"/>
        <v>858.48</v>
      </c>
      <c r="DK17" s="82">
        <f t="shared" si="4"/>
        <v>442.39</v>
      </c>
      <c r="DL17" s="37">
        <f t="shared" si="4"/>
        <v>0.72540000000000004</v>
      </c>
      <c r="DM17" s="115">
        <f t="shared" si="4"/>
        <v>28</v>
      </c>
      <c r="DN17" s="82">
        <f t="shared" si="4"/>
        <v>133897.91</v>
      </c>
      <c r="DO17" s="82">
        <f t="shared" si="4"/>
        <v>6695.9400000000005</v>
      </c>
      <c r="DP17" s="82">
        <f t="shared" si="4"/>
        <v>35751.5</v>
      </c>
      <c r="DQ17" s="37">
        <f t="shared" si="4"/>
        <v>0.78820000000000001</v>
      </c>
      <c r="DR17" s="115">
        <f t="shared" si="4"/>
        <v>7</v>
      </c>
      <c r="DS17" s="82">
        <f t="shared" si="4"/>
        <v>4881.34</v>
      </c>
      <c r="DT17" s="82">
        <f t="shared" si="4"/>
        <v>438.05</v>
      </c>
      <c r="DU17" s="82">
        <f t="shared" si="4"/>
        <v>71.930000000000007</v>
      </c>
      <c r="DV17" s="37">
        <f t="shared" si="4"/>
        <v>0.80500000000000005</v>
      </c>
      <c r="DW17" s="115">
        <f t="shared" si="4"/>
        <v>4</v>
      </c>
      <c r="DX17" s="115">
        <f t="shared" si="4"/>
        <v>25380</v>
      </c>
      <c r="DY17" s="115">
        <f t="shared" si="4"/>
        <v>3707</v>
      </c>
      <c r="DZ17" s="115">
        <f t="shared" ref="DZ17:EY17" si="5">DZ13+DZ14+DZ15+DZ16</f>
        <v>0</v>
      </c>
      <c r="EA17" s="62">
        <f t="shared" si="5"/>
        <v>1</v>
      </c>
      <c r="EB17" s="115">
        <f t="shared" si="5"/>
        <v>20</v>
      </c>
      <c r="EC17" s="115">
        <f t="shared" si="5"/>
        <v>83951</v>
      </c>
      <c r="ED17" s="115">
        <f t="shared" si="5"/>
        <v>4053</v>
      </c>
      <c r="EE17" s="115">
        <f t="shared" si="5"/>
        <v>9586</v>
      </c>
      <c r="EF17" s="62">
        <f t="shared" si="5"/>
        <v>0.65999999999999992</v>
      </c>
      <c r="EG17" s="115">
        <f t="shared" si="5"/>
        <v>0</v>
      </c>
      <c r="EH17" s="115">
        <f t="shared" si="5"/>
        <v>0</v>
      </c>
      <c r="EI17" s="115">
        <f t="shared" si="5"/>
        <v>0</v>
      </c>
      <c r="EJ17" s="115">
        <f t="shared" si="5"/>
        <v>0</v>
      </c>
      <c r="EK17" s="62">
        <f t="shared" si="5"/>
        <v>0</v>
      </c>
      <c r="EL17" s="115">
        <f t="shared" si="5"/>
        <v>36</v>
      </c>
      <c r="EM17" s="115">
        <f t="shared" si="5"/>
        <v>70560</v>
      </c>
      <c r="EN17" s="115">
        <f t="shared" si="5"/>
        <v>6578</v>
      </c>
      <c r="EO17" s="115">
        <f t="shared" si="5"/>
        <v>23980.2</v>
      </c>
      <c r="EP17" s="37">
        <f t="shared" si="5"/>
        <v>0.81359999999999999</v>
      </c>
      <c r="EQ17" s="115">
        <f t="shared" si="5"/>
        <v>27</v>
      </c>
      <c r="ER17" s="115">
        <f t="shared" si="5"/>
        <v>62192</v>
      </c>
      <c r="ES17" s="115">
        <f t="shared" si="5"/>
        <v>9355</v>
      </c>
      <c r="ET17" s="115">
        <f t="shared" si="5"/>
        <v>33222</v>
      </c>
      <c r="EU17" s="37">
        <f t="shared" si="5"/>
        <v>0.75309999999999999</v>
      </c>
      <c r="EV17" s="115">
        <f t="shared" si="5"/>
        <v>10</v>
      </c>
      <c r="EW17" s="115">
        <f t="shared" si="5"/>
        <v>51717.7</v>
      </c>
      <c r="EX17" s="115">
        <f t="shared" si="5"/>
        <v>2251.42</v>
      </c>
      <c r="EY17" s="115">
        <f t="shared" si="5"/>
        <v>1911.0500000000002</v>
      </c>
      <c r="EZ17" s="62">
        <f>EZ13+EZ14+EZ15+EZ16</f>
        <v>0.59</v>
      </c>
    </row>
    <row r="18" spans="1:156" s="40" customFormat="1" x14ac:dyDescent="0.25">
      <c r="A18" s="19" t="s">
        <v>277</v>
      </c>
      <c r="B18" s="31">
        <f>B11+B17</f>
        <v>3</v>
      </c>
      <c r="C18" s="19">
        <f t="shared" ref="C18:BN18" si="6">C11+C17</f>
        <v>9407.65</v>
      </c>
      <c r="D18" s="19">
        <f t="shared" si="6"/>
        <v>142.30000000000001</v>
      </c>
      <c r="E18" s="19">
        <f t="shared" si="6"/>
        <v>3.34</v>
      </c>
      <c r="F18" s="31">
        <f t="shared" si="6"/>
        <v>0</v>
      </c>
      <c r="G18" s="31">
        <f t="shared" si="6"/>
        <v>4</v>
      </c>
      <c r="H18" s="31">
        <f t="shared" si="6"/>
        <v>8883</v>
      </c>
      <c r="I18" s="31">
        <f t="shared" si="6"/>
        <v>23</v>
      </c>
      <c r="J18" s="31">
        <f t="shared" si="6"/>
        <v>0</v>
      </c>
      <c r="K18" s="62">
        <f t="shared" si="6"/>
        <v>1</v>
      </c>
      <c r="L18" s="31">
        <f t="shared" si="6"/>
        <v>70</v>
      </c>
      <c r="M18" s="31">
        <f t="shared" si="6"/>
        <v>314870.53000000003</v>
      </c>
      <c r="N18" s="31">
        <f t="shared" si="6"/>
        <v>14197.71</v>
      </c>
      <c r="O18" s="31">
        <f t="shared" si="6"/>
        <v>86826.19</v>
      </c>
      <c r="P18" s="62">
        <f t="shared" si="6"/>
        <v>1</v>
      </c>
      <c r="Q18" s="31">
        <f t="shared" si="6"/>
        <v>200</v>
      </c>
      <c r="R18" s="19">
        <f t="shared" si="6"/>
        <v>250894.34000000003</v>
      </c>
      <c r="S18" s="19">
        <f t="shared" si="6"/>
        <v>10216.08</v>
      </c>
      <c r="T18" s="19">
        <f t="shared" si="6"/>
        <v>121573.19</v>
      </c>
      <c r="U18" s="116">
        <f t="shared" si="6"/>
        <v>1.0001</v>
      </c>
      <c r="V18" s="31">
        <f t="shared" si="6"/>
        <v>2</v>
      </c>
      <c r="W18" s="31">
        <f t="shared" si="6"/>
        <v>34166</v>
      </c>
      <c r="X18" s="31">
        <f t="shared" si="6"/>
        <v>397</v>
      </c>
      <c r="Y18" s="31">
        <f t="shared" si="6"/>
        <v>1</v>
      </c>
      <c r="Z18" s="62">
        <f t="shared" si="6"/>
        <v>1</v>
      </c>
      <c r="AA18" s="31">
        <f t="shared" si="6"/>
        <v>70</v>
      </c>
      <c r="AB18" s="31">
        <f t="shared" si="6"/>
        <v>46549</v>
      </c>
      <c r="AC18" s="31">
        <f t="shared" si="6"/>
        <v>1691</v>
      </c>
      <c r="AD18" s="31">
        <f t="shared" si="6"/>
        <v>8179</v>
      </c>
      <c r="AE18" s="62">
        <f t="shared" si="6"/>
        <v>0.99999999999999989</v>
      </c>
      <c r="AF18" s="31">
        <f t="shared" si="6"/>
        <v>11</v>
      </c>
      <c r="AG18" s="31">
        <f t="shared" si="6"/>
        <v>7988</v>
      </c>
      <c r="AH18" s="31">
        <f t="shared" si="6"/>
        <v>1806</v>
      </c>
      <c r="AI18" s="31">
        <f t="shared" si="6"/>
        <v>0</v>
      </c>
      <c r="AJ18" s="62">
        <f t="shared" si="6"/>
        <v>0.99999999999999989</v>
      </c>
      <c r="AK18" s="31">
        <f t="shared" si="6"/>
        <v>21</v>
      </c>
      <c r="AL18" s="31">
        <f t="shared" si="6"/>
        <v>2369.94</v>
      </c>
      <c r="AM18" s="31">
        <f t="shared" si="6"/>
        <v>456.63</v>
      </c>
      <c r="AN18" s="31">
        <f t="shared" si="6"/>
        <v>24.93</v>
      </c>
      <c r="AO18" s="62">
        <f t="shared" si="6"/>
        <v>1.01</v>
      </c>
      <c r="AP18" s="31">
        <f t="shared" si="6"/>
        <v>94</v>
      </c>
      <c r="AQ18" s="31">
        <f t="shared" si="6"/>
        <v>57613</v>
      </c>
      <c r="AR18" s="31">
        <f t="shared" si="6"/>
        <v>7517</v>
      </c>
      <c r="AS18" s="31">
        <f t="shared" si="6"/>
        <v>4298</v>
      </c>
      <c r="AT18" s="62">
        <f t="shared" si="6"/>
        <v>0.99990000000000001</v>
      </c>
      <c r="AU18" s="31">
        <f t="shared" si="6"/>
        <v>84</v>
      </c>
      <c r="AV18" s="31">
        <f t="shared" si="6"/>
        <v>43448</v>
      </c>
      <c r="AW18" s="31">
        <f t="shared" si="6"/>
        <v>825</v>
      </c>
      <c r="AX18" s="31">
        <f t="shared" si="6"/>
        <v>5512</v>
      </c>
      <c r="AY18" s="62">
        <f t="shared" si="6"/>
        <v>0.99990000000000001</v>
      </c>
      <c r="AZ18" s="31">
        <f t="shared" si="6"/>
        <v>153</v>
      </c>
      <c r="BA18" s="31">
        <f t="shared" si="6"/>
        <v>316050</v>
      </c>
      <c r="BB18" s="31">
        <f t="shared" si="6"/>
        <v>9344</v>
      </c>
      <c r="BC18" s="31">
        <f t="shared" si="6"/>
        <v>17447</v>
      </c>
      <c r="BD18" s="62">
        <f t="shared" si="6"/>
        <v>1</v>
      </c>
      <c r="BE18" s="31">
        <f t="shared" si="6"/>
        <v>228</v>
      </c>
      <c r="BF18" s="31">
        <f t="shared" si="6"/>
        <v>108520</v>
      </c>
      <c r="BG18" s="31">
        <f t="shared" si="6"/>
        <v>9247</v>
      </c>
      <c r="BH18" s="31">
        <f t="shared" si="6"/>
        <v>28120</v>
      </c>
      <c r="BI18" s="62">
        <f t="shared" si="6"/>
        <v>1</v>
      </c>
      <c r="BJ18" s="31">
        <f t="shared" si="6"/>
        <v>0</v>
      </c>
      <c r="BK18" s="31">
        <f t="shared" si="6"/>
        <v>0</v>
      </c>
      <c r="BL18" s="31">
        <f t="shared" si="6"/>
        <v>0</v>
      </c>
      <c r="BM18" s="31">
        <f t="shared" si="6"/>
        <v>0</v>
      </c>
      <c r="BN18" s="31">
        <f t="shared" si="6"/>
        <v>0</v>
      </c>
      <c r="BO18" s="31">
        <f t="shared" ref="BO18:DZ18" si="7">BO11+BO17</f>
        <v>11</v>
      </c>
      <c r="BP18" s="31">
        <f t="shared" si="7"/>
        <v>5911</v>
      </c>
      <c r="BQ18" s="31">
        <f t="shared" si="7"/>
        <v>401</v>
      </c>
      <c r="BR18" s="31">
        <f t="shared" si="7"/>
        <v>70</v>
      </c>
      <c r="BS18" s="62">
        <f t="shared" si="7"/>
        <v>0.99900000000000011</v>
      </c>
      <c r="BT18" s="31">
        <f t="shared" si="7"/>
        <v>21</v>
      </c>
      <c r="BU18" s="31">
        <f t="shared" si="7"/>
        <v>10598.06</v>
      </c>
      <c r="BV18" s="31">
        <f t="shared" si="7"/>
        <v>2454.91</v>
      </c>
      <c r="BW18" s="31">
        <f t="shared" si="7"/>
        <v>29.84</v>
      </c>
      <c r="BX18" s="62">
        <f t="shared" si="7"/>
        <v>1</v>
      </c>
      <c r="BY18" s="31">
        <f t="shared" si="7"/>
        <v>43</v>
      </c>
      <c r="BZ18" s="31">
        <f t="shared" si="7"/>
        <v>26606</v>
      </c>
      <c r="CA18" s="31">
        <f t="shared" si="7"/>
        <v>585</v>
      </c>
      <c r="CB18" s="31">
        <f t="shared" si="7"/>
        <v>146</v>
      </c>
      <c r="CC18" s="62">
        <f t="shared" si="7"/>
        <v>1.01</v>
      </c>
      <c r="CD18" s="31">
        <f t="shared" si="7"/>
        <v>2</v>
      </c>
      <c r="CE18" s="19">
        <f t="shared" si="7"/>
        <v>2249.8200000000002</v>
      </c>
      <c r="CF18" s="19">
        <f t="shared" si="7"/>
        <v>56.38</v>
      </c>
      <c r="CG18" s="19">
        <f t="shared" si="7"/>
        <v>8.9600000000000009</v>
      </c>
      <c r="CH18" s="62">
        <f t="shared" si="7"/>
        <v>1</v>
      </c>
      <c r="CI18" s="31">
        <f t="shared" si="7"/>
        <v>4</v>
      </c>
      <c r="CJ18" s="31">
        <f t="shared" si="7"/>
        <v>29174</v>
      </c>
      <c r="CK18" s="31">
        <f t="shared" si="7"/>
        <v>46</v>
      </c>
      <c r="CL18" s="31">
        <f t="shared" si="7"/>
        <v>0</v>
      </c>
      <c r="CM18" s="62">
        <f t="shared" si="7"/>
        <v>1</v>
      </c>
      <c r="CN18" s="31">
        <f t="shared" si="7"/>
        <v>218</v>
      </c>
      <c r="CO18" s="31">
        <f t="shared" si="7"/>
        <v>48200</v>
      </c>
      <c r="CP18" s="31">
        <f t="shared" si="7"/>
        <v>7796</v>
      </c>
      <c r="CQ18" s="31">
        <f t="shared" si="7"/>
        <v>16914</v>
      </c>
      <c r="CR18" s="62">
        <f t="shared" si="7"/>
        <v>1</v>
      </c>
      <c r="CS18" s="31">
        <f t="shared" si="7"/>
        <v>22</v>
      </c>
      <c r="CT18" s="31">
        <f t="shared" si="7"/>
        <v>348</v>
      </c>
      <c r="CU18" s="31">
        <f t="shared" si="7"/>
        <v>203</v>
      </c>
      <c r="CV18" s="31">
        <f t="shared" si="7"/>
        <v>0</v>
      </c>
      <c r="CW18" s="62">
        <f t="shared" si="7"/>
        <v>1</v>
      </c>
      <c r="CX18" s="31">
        <f t="shared" si="7"/>
        <v>4</v>
      </c>
      <c r="CY18" s="19">
        <f t="shared" si="7"/>
        <v>2492.25</v>
      </c>
      <c r="CZ18" s="19">
        <f t="shared" si="7"/>
        <v>1176.8899999999999</v>
      </c>
      <c r="DA18" s="19">
        <f t="shared" si="7"/>
        <v>56.87</v>
      </c>
      <c r="DB18" s="62">
        <f t="shared" si="7"/>
        <v>1</v>
      </c>
      <c r="DC18" s="31">
        <f t="shared" si="7"/>
        <v>194</v>
      </c>
      <c r="DD18" s="31">
        <f t="shared" si="7"/>
        <v>192279</v>
      </c>
      <c r="DE18" s="31">
        <f t="shared" si="7"/>
        <v>13941</v>
      </c>
      <c r="DF18" s="31">
        <f t="shared" si="7"/>
        <v>20258</v>
      </c>
      <c r="DG18" s="62">
        <f t="shared" si="7"/>
        <v>1.0001</v>
      </c>
      <c r="DH18" s="31">
        <f t="shared" si="7"/>
        <v>81</v>
      </c>
      <c r="DI18" s="19">
        <f t="shared" si="7"/>
        <v>37777.769999999997</v>
      </c>
      <c r="DJ18" s="19">
        <f t="shared" si="7"/>
        <v>1423.0900000000001</v>
      </c>
      <c r="DK18" s="19">
        <f t="shared" si="7"/>
        <v>3776.05</v>
      </c>
      <c r="DL18" s="62">
        <f t="shared" si="7"/>
        <v>1</v>
      </c>
      <c r="DM18" s="31">
        <f t="shared" si="7"/>
        <v>164</v>
      </c>
      <c r="DN18" s="19">
        <f t="shared" si="7"/>
        <v>176205.76</v>
      </c>
      <c r="DO18" s="19">
        <f t="shared" si="7"/>
        <v>9502.15</v>
      </c>
      <c r="DP18" s="19">
        <f t="shared" si="7"/>
        <v>38032.69</v>
      </c>
      <c r="DQ18" s="62">
        <f t="shared" si="7"/>
        <v>1.0001</v>
      </c>
      <c r="DR18" s="31">
        <f t="shared" si="7"/>
        <v>31</v>
      </c>
      <c r="DS18" s="19">
        <f t="shared" si="7"/>
        <v>5673.42</v>
      </c>
      <c r="DT18" s="19">
        <f t="shared" si="7"/>
        <v>826.71</v>
      </c>
      <c r="DU18" s="19">
        <f t="shared" si="7"/>
        <v>196.91</v>
      </c>
      <c r="DV18" s="62">
        <f t="shared" si="7"/>
        <v>1</v>
      </c>
      <c r="DW18" s="31">
        <f t="shared" si="7"/>
        <v>4</v>
      </c>
      <c r="DX18" s="31">
        <f t="shared" si="7"/>
        <v>25380</v>
      </c>
      <c r="DY18" s="31">
        <f t="shared" si="7"/>
        <v>3707</v>
      </c>
      <c r="DZ18" s="31">
        <f t="shared" si="7"/>
        <v>0</v>
      </c>
      <c r="EA18" s="62">
        <f t="shared" ref="EA18:EZ18" si="8">EA11+EA17</f>
        <v>1</v>
      </c>
      <c r="EB18" s="31">
        <f t="shared" si="8"/>
        <v>126</v>
      </c>
      <c r="EC18" s="31">
        <f t="shared" si="8"/>
        <v>126727</v>
      </c>
      <c r="ED18" s="31">
        <f t="shared" si="8"/>
        <v>7091</v>
      </c>
      <c r="EE18" s="31">
        <f t="shared" si="8"/>
        <v>14484</v>
      </c>
      <c r="EF18" s="62">
        <f t="shared" si="8"/>
        <v>1.0099999999999998</v>
      </c>
      <c r="EG18" s="31">
        <f t="shared" si="8"/>
        <v>359</v>
      </c>
      <c r="EH18" s="31">
        <f t="shared" si="8"/>
        <v>60753</v>
      </c>
      <c r="EI18" s="31">
        <f t="shared" si="8"/>
        <v>11195</v>
      </c>
      <c r="EJ18" s="31">
        <f t="shared" si="8"/>
        <v>85636</v>
      </c>
      <c r="EK18" s="62">
        <f t="shared" si="8"/>
        <v>0.99999999999999989</v>
      </c>
      <c r="EL18" s="31">
        <f t="shared" si="8"/>
        <v>336</v>
      </c>
      <c r="EM18" s="31">
        <f t="shared" si="8"/>
        <v>83355</v>
      </c>
      <c r="EN18" s="31">
        <f t="shared" si="8"/>
        <v>12357.2</v>
      </c>
      <c r="EO18" s="31">
        <f t="shared" si="8"/>
        <v>28571.71</v>
      </c>
      <c r="EP18" s="37">
        <f t="shared" si="8"/>
        <v>0.99995000000000001</v>
      </c>
      <c r="EQ18" s="31">
        <f t="shared" si="8"/>
        <v>186</v>
      </c>
      <c r="ER18" s="31">
        <f t="shared" si="8"/>
        <v>81523</v>
      </c>
      <c r="ES18" s="31">
        <f t="shared" si="8"/>
        <v>17047</v>
      </c>
      <c r="ET18" s="31">
        <f t="shared" si="8"/>
        <v>40547</v>
      </c>
      <c r="EU18" s="37">
        <f t="shared" si="8"/>
        <v>1</v>
      </c>
      <c r="EV18" s="31">
        <f t="shared" si="8"/>
        <v>104</v>
      </c>
      <c r="EW18" s="31">
        <f t="shared" si="8"/>
        <v>70314.459999999992</v>
      </c>
      <c r="EX18" s="31">
        <f t="shared" si="8"/>
        <v>4283.92</v>
      </c>
      <c r="EY18" s="31">
        <f t="shared" si="8"/>
        <v>21534.04</v>
      </c>
      <c r="EZ18" s="62">
        <f t="shared" si="8"/>
        <v>1.01</v>
      </c>
    </row>
  </sheetData>
  <mergeCells count="125">
    <mergeCell ref="A3:A4"/>
    <mergeCell ref="ER3:ET3"/>
    <mergeCell ref="EU3:EU4"/>
    <mergeCell ref="EV3:EV4"/>
    <mergeCell ref="EW3:EY3"/>
    <mergeCell ref="EZ3:EZ4"/>
    <mergeCell ref="EH3:EJ3"/>
    <mergeCell ref="EK3:EK4"/>
    <mergeCell ref="EL3:EL4"/>
    <mergeCell ref="EM3:EO3"/>
    <mergeCell ref="EP3:EP4"/>
    <mergeCell ref="EQ3:EQ4"/>
    <mergeCell ref="DX3:DZ3"/>
    <mergeCell ref="EA3:EA4"/>
    <mergeCell ref="EB3:EB4"/>
    <mergeCell ref="EC3:EE3"/>
    <mergeCell ref="EF3:EF4"/>
    <mergeCell ref="EG3:EG4"/>
    <mergeCell ref="DI3:DK3"/>
    <mergeCell ref="DL3:DL4"/>
    <mergeCell ref="DR3:DR4"/>
    <mergeCell ref="DS3:DU3"/>
    <mergeCell ref="DV3:DV4"/>
    <mergeCell ref="DW3:DW4"/>
    <mergeCell ref="CY3:DA3"/>
    <mergeCell ref="DB3:DB4"/>
    <mergeCell ref="DC3:DC4"/>
    <mergeCell ref="DD3:DF3"/>
    <mergeCell ref="DG3:DG4"/>
    <mergeCell ref="DH3:DH4"/>
    <mergeCell ref="DM3:DM4"/>
    <mergeCell ref="DN3:DP3"/>
    <mergeCell ref="DQ3:DQ4"/>
    <mergeCell ref="CO3:CQ3"/>
    <mergeCell ref="CR3:CR4"/>
    <mergeCell ref="CS3:CS4"/>
    <mergeCell ref="CT3:CV3"/>
    <mergeCell ref="CW3:CW4"/>
    <mergeCell ref="CX3:CX4"/>
    <mergeCell ref="CE3:CG3"/>
    <mergeCell ref="CH3:CH4"/>
    <mergeCell ref="CI3:CI4"/>
    <mergeCell ref="CJ3:CL3"/>
    <mergeCell ref="CM3:CM4"/>
    <mergeCell ref="CN3:CN4"/>
    <mergeCell ref="BU3:BW3"/>
    <mergeCell ref="BX3:BX4"/>
    <mergeCell ref="BY3:BY4"/>
    <mergeCell ref="BZ3:CB3"/>
    <mergeCell ref="CC3:CC4"/>
    <mergeCell ref="CD3:CD4"/>
    <mergeCell ref="BK3:BM3"/>
    <mergeCell ref="BN3:BN4"/>
    <mergeCell ref="BO3:BO4"/>
    <mergeCell ref="BP3:BR3"/>
    <mergeCell ref="BS3:BS4"/>
    <mergeCell ref="BT3:BT4"/>
    <mergeCell ref="BD3:BD4"/>
    <mergeCell ref="BE3:BE4"/>
    <mergeCell ref="BF3:BH3"/>
    <mergeCell ref="BI3:BI4"/>
    <mergeCell ref="BJ3:BJ4"/>
    <mergeCell ref="AV3:AX3"/>
    <mergeCell ref="AY3:AY4"/>
    <mergeCell ref="AZ3:AZ4"/>
    <mergeCell ref="AT3:AT4"/>
    <mergeCell ref="AU3:AU4"/>
    <mergeCell ref="R3:T3"/>
    <mergeCell ref="U3:U4"/>
    <mergeCell ref="AL3:AN3"/>
    <mergeCell ref="AO3:AO4"/>
    <mergeCell ref="AP3:AP4"/>
    <mergeCell ref="AQ3:AS3"/>
    <mergeCell ref="V3:V4"/>
    <mergeCell ref="W3:Y3"/>
    <mergeCell ref="Z3:Z4"/>
    <mergeCell ref="AA3:AA4"/>
    <mergeCell ref="M3:O3"/>
    <mergeCell ref="AB3:AD3"/>
    <mergeCell ref="AE3:AE4"/>
    <mergeCell ref="AF3:AF4"/>
    <mergeCell ref="AG3:AI3"/>
    <mergeCell ref="EQ2:EU2"/>
    <mergeCell ref="EV2:EZ2"/>
    <mergeCell ref="DM2:DQ2"/>
    <mergeCell ref="DW2:EA2"/>
    <mergeCell ref="EB2:EF2"/>
    <mergeCell ref="EG2:EK2"/>
    <mergeCell ref="EL2:EP2"/>
    <mergeCell ref="BT2:BX2"/>
    <mergeCell ref="BY2:CC2"/>
    <mergeCell ref="AA2:AE2"/>
    <mergeCell ref="AF2:AJ2"/>
    <mergeCell ref="AK2:AO2"/>
    <mergeCell ref="AP2:AT2"/>
    <mergeCell ref="AU2:AY2"/>
    <mergeCell ref="AJ3:AJ4"/>
    <mergeCell ref="AK3:AK4"/>
    <mergeCell ref="BA3:BC3"/>
    <mergeCell ref="P3:P4"/>
    <mergeCell ref="Q3:Q4"/>
    <mergeCell ref="B3:B4"/>
    <mergeCell ref="C3:E3"/>
    <mergeCell ref="F3:F4"/>
    <mergeCell ref="G3:G4"/>
    <mergeCell ref="H3:J3"/>
    <mergeCell ref="K3:K4"/>
    <mergeCell ref="L3:L4"/>
    <mergeCell ref="DH2:DL2"/>
    <mergeCell ref="DR2:DV2"/>
    <mergeCell ref="CD2:CH2"/>
    <mergeCell ref="CI2:CM2"/>
    <mergeCell ref="CN2:CR2"/>
    <mergeCell ref="CS2:CW2"/>
    <mergeCell ref="CX2:DB2"/>
    <mergeCell ref="DC2:DG2"/>
    <mergeCell ref="AZ2:BD2"/>
    <mergeCell ref="BE2:BI2"/>
    <mergeCell ref="B2:F2"/>
    <mergeCell ref="G2:K2"/>
    <mergeCell ref="L2:P2"/>
    <mergeCell ref="Q2:U2"/>
    <mergeCell ref="V2:Z2"/>
    <mergeCell ref="BJ2:BN2"/>
    <mergeCell ref="BO2:BS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2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6" customWidth="1"/>
    <col min="2" max="22" width="16" style="6" customWidth="1"/>
    <col min="23" max="23" width="16" style="38" customWidth="1"/>
    <col min="24" max="24" width="16" style="6" customWidth="1"/>
    <col min="25" max="25" width="16" style="38" customWidth="1"/>
    <col min="26" max="54" width="16" style="6" customWidth="1"/>
    <col min="55" max="55" width="16" style="38" customWidth="1"/>
    <col min="56" max="56" width="16" style="6" customWidth="1"/>
    <col min="57" max="57" width="16" style="38" customWidth="1"/>
    <col min="58" max="110" width="16" style="6" customWidth="1"/>
    <col min="111" max="111" width="16" style="38" customWidth="1"/>
    <col min="112" max="112" width="16" style="6" customWidth="1"/>
    <col min="113" max="113" width="16" style="38" customWidth="1"/>
    <col min="114" max="125" width="16" style="6" customWidth="1"/>
    <col min="126" max="16384" width="9.140625" style="6"/>
  </cols>
  <sheetData>
    <row r="1" spans="1:125" ht="18.75" x14ac:dyDescent="0.3">
      <c r="A1" s="12" t="s">
        <v>257</v>
      </c>
    </row>
    <row r="2" spans="1:125" x14ac:dyDescent="0.25">
      <c r="A2" s="6" t="s">
        <v>111</v>
      </c>
    </row>
    <row r="3" spans="1:125" x14ac:dyDescent="0.25">
      <c r="A3" s="1" t="s">
        <v>0</v>
      </c>
      <c r="B3" s="167" t="s">
        <v>1</v>
      </c>
      <c r="C3" s="167"/>
      <c r="D3" s="167"/>
      <c r="E3" s="167"/>
      <c r="F3" s="167" t="s">
        <v>233</v>
      </c>
      <c r="G3" s="167"/>
      <c r="H3" s="167"/>
      <c r="I3" s="167"/>
      <c r="J3" s="167" t="s">
        <v>2</v>
      </c>
      <c r="K3" s="167"/>
      <c r="L3" s="167"/>
      <c r="M3" s="167"/>
      <c r="N3" s="167" t="s">
        <v>3</v>
      </c>
      <c r="O3" s="167"/>
      <c r="P3" s="167"/>
      <c r="Q3" s="167"/>
      <c r="R3" s="167" t="s">
        <v>242</v>
      </c>
      <c r="S3" s="167"/>
      <c r="T3" s="167"/>
      <c r="U3" s="167"/>
      <c r="V3" s="147" t="s">
        <v>234</v>
      </c>
      <c r="W3" s="165"/>
      <c r="X3" s="165"/>
      <c r="Y3" s="148"/>
      <c r="Z3" s="147" t="s">
        <v>5</v>
      </c>
      <c r="AA3" s="165"/>
      <c r="AB3" s="165"/>
      <c r="AC3" s="148"/>
      <c r="AD3" s="147" t="s">
        <v>4</v>
      </c>
      <c r="AE3" s="165"/>
      <c r="AF3" s="165"/>
      <c r="AG3" s="148"/>
      <c r="AH3" s="147" t="s">
        <v>6</v>
      </c>
      <c r="AI3" s="165"/>
      <c r="AJ3" s="165"/>
      <c r="AK3" s="148"/>
      <c r="AL3" s="147" t="s">
        <v>254</v>
      </c>
      <c r="AM3" s="165"/>
      <c r="AN3" s="165"/>
      <c r="AO3" s="148"/>
      <c r="AP3" s="147" t="s">
        <v>7</v>
      </c>
      <c r="AQ3" s="165"/>
      <c r="AR3" s="165"/>
      <c r="AS3" s="148"/>
      <c r="AT3" s="147" t="s">
        <v>8</v>
      </c>
      <c r="AU3" s="165"/>
      <c r="AV3" s="165"/>
      <c r="AW3" s="148"/>
      <c r="AX3" s="147" t="s">
        <v>9</v>
      </c>
      <c r="AY3" s="165"/>
      <c r="AZ3" s="165"/>
      <c r="BA3" s="148"/>
      <c r="BB3" s="147" t="s">
        <v>241</v>
      </c>
      <c r="BC3" s="165"/>
      <c r="BD3" s="165"/>
      <c r="BE3" s="148"/>
      <c r="BF3" s="147" t="s">
        <v>10</v>
      </c>
      <c r="BG3" s="165"/>
      <c r="BH3" s="165"/>
      <c r="BI3" s="148"/>
      <c r="BJ3" s="147" t="s">
        <v>11</v>
      </c>
      <c r="BK3" s="165"/>
      <c r="BL3" s="165"/>
      <c r="BM3" s="148"/>
      <c r="BN3" s="147" t="s">
        <v>235</v>
      </c>
      <c r="BO3" s="165"/>
      <c r="BP3" s="165"/>
      <c r="BQ3" s="148"/>
      <c r="BR3" s="147" t="s">
        <v>253</v>
      </c>
      <c r="BS3" s="165"/>
      <c r="BT3" s="165"/>
      <c r="BU3" s="148"/>
      <c r="BV3" s="147" t="s">
        <v>12</v>
      </c>
      <c r="BW3" s="165"/>
      <c r="BX3" s="165"/>
      <c r="BY3" s="148"/>
      <c r="BZ3" s="147" t="s">
        <v>236</v>
      </c>
      <c r="CA3" s="165"/>
      <c r="CB3" s="165"/>
      <c r="CC3" s="148"/>
      <c r="CD3" s="147" t="s">
        <v>237</v>
      </c>
      <c r="CE3" s="165"/>
      <c r="CF3" s="165"/>
      <c r="CG3" s="148"/>
      <c r="CH3" s="147" t="s">
        <v>240</v>
      </c>
      <c r="CI3" s="165"/>
      <c r="CJ3" s="165"/>
      <c r="CK3" s="148"/>
      <c r="CL3" s="167" t="s">
        <v>13</v>
      </c>
      <c r="CM3" s="167"/>
      <c r="CN3" s="167"/>
      <c r="CO3" s="167"/>
      <c r="CP3" s="167" t="s">
        <v>14</v>
      </c>
      <c r="CQ3" s="167"/>
      <c r="CR3" s="167"/>
      <c r="CS3" s="167"/>
      <c r="CT3" s="167" t="s">
        <v>15</v>
      </c>
      <c r="CU3" s="167"/>
      <c r="CV3" s="167"/>
      <c r="CW3" s="167"/>
      <c r="CX3" s="167" t="s">
        <v>16</v>
      </c>
      <c r="CY3" s="167"/>
      <c r="CZ3" s="167"/>
      <c r="DA3" s="167"/>
      <c r="DB3" s="167" t="s">
        <v>17</v>
      </c>
      <c r="DC3" s="167"/>
      <c r="DD3" s="167"/>
      <c r="DE3" s="167"/>
      <c r="DF3" s="167" t="s">
        <v>238</v>
      </c>
      <c r="DG3" s="167"/>
      <c r="DH3" s="167"/>
      <c r="DI3" s="167"/>
      <c r="DJ3" s="167" t="s">
        <v>239</v>
      </c>
      <c r="DK3" s="167"/>
      <c r="DL3" s="167"/>
      <c r="DM3" s="167"/>
      <c r="DN3" s="168" t="s">
        <v>18</v>
      </c>
      <c r="DO3" s="168"/>
      <c r="DP3" s="168"/>
      <c r="DQ3" s="168"/>
      <c r="DR3" s="153" t="s">
        <v>19</v>
      </c>
      <c r="DS3" s="153"/>
      <c r="DT3" s="153"/>
      <c r="DU3" s="153"/>
    </row>
    <row r="4" spans="1:125" ht="15" customHeight="1" x14ac:dyDescent="0.25">
      <c r="A4" s="1"/>
      <c r="B4" s="157" t="s">
        <v>243</v>
      </c>
      <c r="C4" s="157"/>
      <c r="D4" s="166" t="s">
        <v>244</v>
      </c>
      <c r="E4" s="166"/>
      <c r="F4" s="157" t="s">
        <v>243</v>
      </c>
      <c r="G4" s="157"/>
      <c r="H4" s="166" t="s">
        <v>244</v>
      </c>
      <c r="I4" s="166"/>
      <c r="J4" s="157" t="s">
        <v>243</v>
      </c>
      <c r="K4" s="157"/>
      <c r="L4" s="166" t="s">
        <v>244</v>
      </c>
      <c r="M4" s="166"/>
      <c r="N4" s="157" t="s">
        <v>243</v>
      </c>
      <c r="O4" s="157"/>
      <c r="P4" s="166" t="s">
        <v>244</v>
      </c>
      <c r="Q4" s="166"/>
      <c r="R4" s="157" t="s">
        <v>243</v>
      </c>
      <c r="S4" s="157"/>
      <c r="T4" s="166" t="s">
        <v>244</v>
      </c>
      <c r="U4" s="166"/>
      <c r="V4" s="157" t="s">
        <v>243</v>
      </c>
      <c r="W4" s="157"/>
      <c r="X4" s="166" t="s">
        <v>244</v>
      </c>
      <c r="Y4" s="166"/>
      <c r="Z4" s="157" t="s">
        <v>243</v>
      </c>
      <c r="AA4" s="157"/>
      <c r="AB4" s="166" t="s">
        <v>244</v>
      </c>
      <c r="AC4" s="166"/>
      <c r="AD4" s="157" t="s">
        <v>243</v>
      </c>
      <c r="AE4" s="157"/>
      <c r="AF4" s="166" t="s">
        <v>244</v>
      </c>
      <c r="AG4" s="166"/>
      <c r="AH4" s="157" t="s">
        <v>243</v>
      </c>
      <c r="AI4" s="157"/>
      <c r="AJ4" s="166" t="s">
        <v>244</v>
      </c>
      <c r="AK4" s="166"/>
      <c r="AL4" s="157" t="s">
        <v>243</v>
      </c>
      <c r="AM4" s="157"/>
      <c r="AN4" s="166" t="s">
        <v>244</v>
      </c>
      <c r="AO4" s="166"/>
      <c r="AP4" s="157" t="s">
        <v>243</v>
      </c>
      <c r="AQ4" s="157"/>
      <c r="AR4" s="166" t="s">
        <v>244</v>
      </c>
      <c r="AS4" s="166"/>
      <c r="AT4" s="157" t="s">
        <v>243</v>
      </c>
      <c r="AU4" s="157"/>
      <c r="AV4" s="166" t="s">
        <v>244</v>
      </c>
      <c r="AW4" s="166"/>
      <c r="AX4" s="157" t="s">
        <v>243</v>
      </c>
      <c r="AY4" s="157"/>
      <c r="AZ4" s="166" t="s">
        <v>244</v>
      </c>
      <c r="BA4" s="166"/>
      <c r="BB4" s="157" t="s">
        <v>243</v>
      </c>
      <c r="BC4" s="157"/>
      <c r="BD4" s="166" t="s">
        <v>244</v>
      </c>
      <c r="BE4" s="166"/>
      <c r="BF4" s="157" t="s">
        <v>243</v>
      </c>
      <c r="BG4" s="157"/>
      <c r="BH4" s="166" t="s">
        <v>244</v>
      </c>
      <c r="BI4" s="166"/>
      <c r="BJ4" s="157" t="s">
        <v>243</v>
      </c>
      <c r="BK4" s="157"/>
      <c r="BL4" s="166" t="s">
        <v>244</v>
      </c>
      <c r="BM4" s="166"/>
      <c r="BN4" s="157" t="s">
        <v>243</v>
      </c>
      <c r="BO4" s="157"/>
      <c r="BP4" s="166" t="s">
        <v>244</v>
      </c>
      <c r="BQ4" s="166"/>
      <c r="BR4" s="157" t="s">
        <v>243</v>
      </c>
      <c r="BS4" s="157"/>
      <c r="BT4" s="166" t="s">
        <v>244</v>
      </c>
      <c r="BU4" s="166"/>
      <c r="BV4" s="157" t="s">
        <v>243</v>
      </c>
      <c r="BW4" s="157"/>
      <c r="BX4" s="166" t="s">
        <v>244</v>
      </c>
      <c r="BY4" s="166"/>
      <c r="BZ4" s="157" t="s">
        <v>243</v>
      </c>
      <c r="CA4" s="157"/>
      <c r="CB4" s="166" t="s">
        <v>244</v>
      </c>
      <c r="CC4" s="166"/>
      <c r="CD4" s="157" t="s">
        <v>243</v>
      </c>
      <c r="CE4" s="157"/>
      <c r="CF4" s="166" t="s">
        <v>244</v>
      </c>
      <c r="CG4" s="166"/>
      <c r="CH4" s="157" t="s">
        <v>243</v>
      </c>
      <c r="CI4" s="157"/>
      <c r="CJ4" s="166" t="s">
        <v>244</v>
      </c>
      <c r="CK4" s="166"/>
      <c r="CL4" s="157" t="s">
        <v>243</v>
      </c>
      <c r="CM4" s="157"/>
      <c r="CN4" s="166" t="s">
        <v>244</v>
      </c>
      <c r="CO4" s="166"/>
      <c r="CP4" s="157" t="s">
        <v>243</v>
      </c>
      <c r="CQ4" s="157"/>
      <c r="CR4" s="166" t="s">
        <v>244</v>
      </c>
      <c r="CS4" s="166"/>
      <c r="CT4" s="157" t="s">
        <v>243</v>
      </c>
      <c r="CU4" s="157"/>
      <c r="CV4" s="166" t="s">
        <v>244</v>
      </c>
      <c r="CW4" s="166"/>
      <c r="CX4" s="157" t="s">
        <v>243</v>
      </c>
      <c r="CY4" s="157"/>
      <c r="CZ4" s="166" t="s">
        <v>244</v>
      </c>
      <c r="DA4" s="166"/>
      <c r="DB4" s="157" t="s">
        <v>243</v>
      </c>
      <c r="DC4" s="157"/>
      <c r="DD4" s="166" t="s">
        <v>244</v>
      </c>
      <c r="DE4" s="166"/>
      <c r="DF4" s="157" t="s">
        <v>243</v>
      </c>
      <c r="DG4" s="157"/>
      <c r="DH4" s="166" t="s">
        <v>244</v>
      </c>
      <c r="DI4" s="166"/>
      <c r="DJ4" s="157" t="s">
        <v>243</v>
      </c>
      <c r="DK4" s="157"/>
      <c r="DL4" s="166" t="s">
        <v>244</v>
      </c>
      <c r="DM4" s="166"/>
      <c r="DN4" s="157" t="s">
        <v>243</v>
      </c>
      <c r="DO4" s="157"/>
      <c r="DP4" s="166" t="s">
        <v>244</v>
      </c>
      <c r="DQ4" s="166"/>
      <c r="DR4" s="157" t="s">
        <v>243</v>
      </c>
      <c r="DS4" s="157"/>
      <c r="DT4" s="166" t="s">
        <v>244</v>
      </c>
      <c r="DU4" s="166"/>
    </row>
    <row r="5" spans="1:125" s="58" customFormat="1" x14ac:dyDescent="0.25">
      <c r="A5" s="57"/>
      <c r="B5" s="80" t="s">
        <v>121</v>
      </c>
      <c r="C5" s="80" t="s">
        <v>122</v>
      </c>
      <c r="D5" s="80" t="s">
        <v>121</v>
      </c>
      <c r="E5" s="80" t="s">
        <v>122</v>
      </c>
      <c r="F5" s="80" t="s">
        <v>121</v>
      </c>
      <c r="G5" s="80" t="s">
        <v>122</v>
      </c>
      <c r="H5" s="80" t="s">
        <v>121</v>
      </c>
      <c r="I5" s="80" t="s">
        <v>122</v>
      </c>
      <c r="J5" s="80" t="s">
        <v>121</v>
      </c>
      <c r="K5" s="80" t="s">
        <v>122</v>
      </c>
      <c r="L5" s="80" t="s">
        <v>121</v>
      </c>
      <c r="M5" s="80" t="s">
        <v>122</v>
      </c>
      <c r="N5" s="80" t="s">
        <v>121</v>
      </c>
      <c r="O5" s="80" t="s">
        <v>122</v>
      </c>
      <c r="P5" s="80" t="s">
        <v>121</v>
      </c>
      <c r="Q5" s="80" t="s">
        <v>122</v>
      </c>
      <c r="R5" s="80" t="s">
        <v>121</v>
      </c>
      <c r="S5" s="80" t="s">
        <v>122</v>
      </c>
      <c r="T5" s="80" t="s">
        <v>121</v>
      </c>
      <c r="U5" s="80" t="s">
        <v>122</v>
      </c>
      <c r="V5" s="80" t="s">
        <v>121</v>
      </c>
      <c r="W5" s="80" t="s">
        <v>122</v>
      </c>
      <c r="X5" s="80" t="s">
        <v>121</v>
      </c>
      <c r="Y5" s="80" t="s">
        <v>122</v>
      </c>
      <c r="Z5" s="80" t="s">
        <v>121</v>
      </c>
      <c r="AA5" s="80" t="s">
        <v>122</v>
      </c>
      <c r="AB5" s="80" t="s">
        <v>121</v>
      </c>
      <c r="AC5" s="80" t="s">
        <v>122</v>
      </c>
      <c r="AD5" s="80" t="s">
        <v>121</v>
      </c>
      <c r="AE5" s="80" t="s">
        <v>122</v>
      </c>
      <c r="AF5" s="80" t="s">
        <v>121</v>
      </c>
      <c r="AG5" s="80" t="s">
        <v>122</v>
      </c>
      <c r="AH5" s="80" t="s">
        <v>121</v>
      </c>
      <c r="AI5" s="80" t="s">
        <v>122</v>
      </c>
      <c r="AJ5" s="80" t="s">
        <v>121</v>
      </c>
      <c r="AK5" s="80" t="s">
        <v>122</v>
      </c>
      <c r="AL5" s="80" t="s">
        <v>121</v>
      </c>
      <c r="AM5" s="80" t="s">
        <v>122</v>
      </c>
      <c r="AN5" s="80" t="s">
        <v>121</v>
      </c>
      <c r="AO5" s="80" t="s">
        <v>122</v>
      </c>
      <c r="AP5" s="80" t="s">
        <v>121</v>
      </c>
      <c r="AQ5" s="80" t="s">
        <v>122</v>
      </c>
      <c r="AR5" s="80" t="s">
        <v>121</v>
      </c>
      <c r="AS5" s="80" t="s">
        <v>122</v>
      </c>
      <c r="AT5" s="80" t="s">
        <v>121</v>
      </c>
      <c r="AU5" s="80" t="s">
        <v>122</v>
      </c>
      <c r="AV5" s="80" t="s">
        <v>121</v>
      </c>
      <c r="AW5" s="80" t="s">
        <v>122</v>
      </c>
      <c r="AX5" s="80" t="s">
        <v>121</v>
      </c>
      <c r="AY5" s="80" t="s">
        <v>122</v>
      </c>
      <c r="AZ5" s="80" t="s">
        <v>121</v>
      </c>
      <c r="BA5" s="80" t="s">
        <v>122</v>
      </c>
      <c r="BB5" s="80" t="s">
        <v>121</v>
      </c>
      <c r="BC5" s="80" t="s">
        <v>122</v>
      </c>
      <c r="BD5" s="80" t="s">
        <v>121</v>
      </c>
      <c r="BE5" s="80" t="s">
        <v>122</v>
      </c>
      <c r="BF5" s="80" t="s">
        <v>121</v>
      </c>
      <c r="BG5" s="80" t="s">
        <v>122</v>
      </c>
      <c r="BH5" s="80" t="s">
        <v>121</v>
      </c>
      <c r="BI5" s="80" t="s">
        <v>122</v>
      </c>
      <c r="BJ5" s="80" t="s">
        <v>121</v>
      </c>
      <c r="BK5" s="80" t="s">
        <v>122</v>
      </c>
      <c r="BL5" s="80" t="s">
        <v>121</v>
      </c>
      <c r="BM5" s="80" t="s">
        <v>122</v>
      </c>
      <c r="BN5" s="80" t="s">
        <v>121</v>
      </c>
      <c r="BO5" s="80" t="s">
        <v>122</v>
      </c>
      <c r="BP5" s="80" t="s">
        <v>121</v>
      </c>
      <c r="BQ5" s="80" t="s">
        <v>122</v>
      </c>
      <c r="BR5" s="80" t="s">
        <v>121</v>
      </c>
      <c r="BS5" s="80" t="s">
        <v>122</v>
      </c>
      <c r="BT5" s="80" t="s">
        <v>121</v>
      </c>
      <c r="BU5" s="80" t="s">
        <v>122</v>
      </c>
      <c r="BV5" s="80" t="s">
        <v>121</v>
      </c>
      <c r="BW5" s="80" t="s">
        <v>122</v>
      </c>
      <c r="BX5" s="80" t="s">
        <v>121</v>
      </c>
      <c r="BY5" s="80" t="s">
        <v>122</v>
      </c>
      <c r="BZ5" s="80" t="s">
        <v>121</v>
      </c>
      <c r="CA5" s="80" t="s">
        <v>122</v>
      </c>
      <c r="CB5" s="80" t="s">
        <v>121</v>
      </c>
      <c r="CC5" s="80" t="s">
        <v>122</v>
      </c>
      <c r="CD5" s="80" t="s">
        <v>121</v>
      </c>
      <c r="CE5" s="80" t="s">
        <v>122</v>
      </c>
      <c r="CF5" s="80" t="s">
        <v>121</v>
      </c>
      <c r="CG5" s="80" t="s">
        <v>122</v>
      </c>
      <c r="CH5" s="80" t="s">
        <v>121</v>
      </c>
      <c r="CI5" s="80" t="s">
        <v>122</v>
      </c>
      <c r="CJ5" s="80" t="s">
        <v>121</v>
      </c>
      <c r="CK5" s="80" t="s">
        <v>122</v>
      </c>
      <c r="CL5" s="80" t="s">
        <v>121</v>
      </c>
      <c r="CM5" s="80" t="s">
        <v>122</v>
      </c>
      <c r="CN5" s="80" t="s">
        <v>121</v>
      </c>
      <c r="CO5" s="80" t="s">
        <v>122</v>
      </c>
      <c r="CP5" s="80" t="s">
        <v>121</v>
      </c>
      <c r="CQ5" s="80" t="s">
        <v>122</v>
      </c>
      <c r="CR5" s="80" t="s">
        <v>121</v>
      </c>
      <c r="CS5" s="80" t="s">
        <v>122</v>
      </c>
      <c r="CT5" s="80" t="s">
        <v>121</v>
      </c>
      <c r="CU5" s="80" t="s">
        <v>122</v>
      </c>
      <c r="CV5" s="80" t="s">
        <v>121</v>
      </c>
      <c r="CW5" s="80" t="s">
        <v>122</v>
      </c>
      <c r="CX5" s="80" t="s">
        <v>121</v>
      </c>
      <c r="CY5" s="80" t="s">
        <v>122</v>
      </c>
      <c r="CZ5" s="80" t="s">
        <v>121</v>
      </c>
      <c r="DA5" s="80" t="s">
        <v>122</v>
      </c>
      <c r="DB5" s="80" t="s">
        <v>121</v>
      </c>
      <c r="DC5" s="80" t="s">
        <v>122</v>
      </c>
      <c r="DD5" s="80" t="s">
        <v>121</v>
      </c>
      <c r="DE5" s="80" t="s">
        <v>122</v>
      </c>
      <c r="DF5" s="80" t="s">
        <v>121</v>
      </c>
      <c r="DG5" s="80" t="s">
        <v>122</v>
      </c>
      <c r="DH5" s="80" t="s">
        <v>121</v>
      </c>
      <c r="DI5" s="80" t="s">
        <v>122</v>
      </c>
      <c r="DJ5" s="80" t="s">
        <v>121</v>
      </c>
      <c r="DK5" s="80" t="s">
        <v>122</v>
      </c>
      <c r="DL5" s="80" t="s">
        <v>121</v>
      </c>
      <c r="DM5" s="80" t="s">
        <v>122</v>
      </c>
      <c r="DN5" s="80" t="s">
        <v>121</v>
      </c>
      <c r="DO5" s="80" t="s">
        <v>122</v>
      </c>
      <c r="DP5" s="80" t="s">
        <v>121</v>
      </c>
      <c r="DQ5" s="80" t="s">
        <v>122</v>
      </c>
      <c r="DR5" s="80" t="s">
        <v>121</v>
      </c>
      <c r="DS5" s="80" t="s">
        <v>122</v>
      </c>
      <c r="DT5" s="80" t="s">
        <v>121</v>
      </c>
      <c r="DU5" s="80" t="s">
        <v>122</v>
      </c>
    </row>
    <row r="6" spans="1:125" x14ac:dyDescent="0.25">
      <c r="A6" s="76" t="s">
        <v>112</v>
      </c>
      <c r="B6" s="92"/>
      <c r="C6" s="92"/>
      <c r="D6" s="92"/>
      <c r="E6" s="92"/>
      <c r="F6" s="92">
        <v>42267</v>
      </c>
      <c r="G6" s="92">
        <v>6315</v>
      </c>
      <c r="H6" s="92">
        <v>84026</v>
      </c>
      <c r="I6" s="92">
        <v>11815</v>
      </c>
      <c r="J6" s="92"/>
      <c r="K6" s="92"/>
      <c r="L6" s="92"/>
      <c r="M6" s="92"/>
      <c r="N6" s="92">
        <v>610535</v>
      </c>
      <c r="O6" s="92">
        <v>49854</v>
      </c>
      <c r="P6" s="92">
        <v>1095323</v>
      </c>
      <c r="Q6" s="92">
        <v>95566</v>
      </c>
      <c r="R6" s="92">
        <v>191617</v>
      </c>
      <c r="S6" s="92">
        <v>34734</v>
      </c>
      <c r="T6" s="92">
        <v>163755</v>
      </c>
      <c r="U6" s="92">
        <v>27530</v>
      </c>
      <c r="V6" s="92">
        <v>10815</v>
      </c>
      <c r="W6" s="92">
        <v>1158</v>
      </c>
      <c r="X6" s="92">
        <v>20216</v>
      </c>
      <c r="Y6" s="92">
        <v>2382</v>
      </c>
      <c r="Z6" s="92"/>
      <c r="AA6" s="92"/>
      <c r="AB6" s="92"/>
      <c r="AC6" s="92"/>
      <c r="AD6" s="92">
        <v>1532</v>
      </c>
      <c r="AE6" s="92">
        <v>170</v>
      </c>
      <c r="AF6" s="92">
        <v>2708</v>
      </c>
      <c r="AG6" s="92">
        <v>305.47000000000003</v>
      </c>
      <c r="AH6" s="92">
        <v>123281</v>
      </c>
      <c r="AI6" s="92">
        <v>11021.69</v>
      </c>
      <c r="AJ6" s="92">
        <v>227402</v>
      </c>
      <c r="AK6" s="92">
        <v>21386.62</v>
      </c>
      <c r="AL6" s="92">
        <v>68117</v>
      </c>
      <c r="AM6" s="92">
        <v>3860</v>
      </c>
      <c r="AN6" s="92">
        <v>105727</v>
      </c>
      <c r="AO6" s="92">
        <v>6877</v>
      </c>
      <c r="AP6" s="92">
        <v>415641</v>
      </c>
      <c r="AQ6" s="92">
        <v>68330</v>
      </c>
      <c r="AR6" s="92">
        <v>764812</v>
      </c>
      <c r="AS6" s="92">
        <v>120838</v>
      </c>
      <c r="AT6" s="92">
        <v>383757</v>
      </c>
      <c r="AU6" s="92">
        <v>46341</v>
      </c>
      <c r="AV6" s="92">
        <v>676404</v>
      </c>
      <c r="AW6" s="92">
        <v>91362</v>
      </c>
      <c r="AX6" s="92">
        <v>724504</v>
      </c>
      <c r="AY6" s="92">
        <v>32733.71</v>
      </c>
      <c r="AZ6" s="92">
        <v>1164472</v>
      </c>
      <c r="BA6" s="92">
        <v>62873.06</v>
      </c>
      <c r="BB6" s="92">
        <v>2449</v>
      </c>
      <c r="BC6" s="92">
        <v>330.07</v>
      </c>
      <c r="BD6" s="92">
        <v>4742</v>
      </c>
      <c r="BE6" s="92">
        <v>644.15</v>
      </c>
      <c r="BF6" s="92">
        <v>30974</v>
      </c>
      <c r="BG6" s="92">
        <v>2745</v>
      </c>
      <c r="BH6" s="92">
        <v>57445</v>
      </c>
      <c r="BI6" s="92">
        <v>5204</v>
      </c>
      <c r="BJ6" s="92">
        <v>16342</v>
      </c>
      <c r="BK6" s="92">
        <v>1726</v>
      </c>
      <c r="BL6" s="92">
        <v>28113</v>
      </c>
      <c r="BM6" s="92">
        <v>3041</v>
      </c>
      <c r="BN6" s="92">
        <v>36788</v>
      </c>
      <c r="BO6" s="92">
        <v>6186</v>
      </c>
      <c r="BP6" s="92">
        <v>70053</v>
      </c>
      <c r="BQ6" s="92">
        <v>11578</v>
      </c>
      <c r="BR6" s="123">
        <v>121438</v>
      </c>
      <c r="BS6" s="123">
        <v>24225.56</v>
      </c>
      <c r="BT6" s="124">
        <v>223013</v>
      </c>
      <c r="BU6" s="124">
        <v>44062.76</v>
      </c>
      <c r="BV6" s="92">
        <v>1755759</v>
      </c>
      <c r="BW6" s="92">
        <v>144432.5</v>
      </c>
      <c r="BX6" s="92">
        <v>3096265</v>
      </c>
      <c r="BY6" s="92">
        <v>269587.59999999998</v>
      </c>
      <c r="BZ6" s="92">
        <v>2544</v>
      </c>
      <c r="CA6" s="92">
        <v>64</v>
      </c>
      <c r="CB6" s="92">
        <v>6921</v>
      </c>
      <c r="CC6" s="92">
        <v>113</v>
      </c>
      <c r="CD6" s="92">
        <v>1228</v>
      </c>
      <c r="CE6" s="92">
        <v>226.57</v>
      </c>
      <c r="CF6" s="92">
        <v>2160</v>
      </c>
      <c r="CG6" s="92">
        <v>367.63</v>
      </c>
      <c r="CH6" s="92">
        <v>309576</v>
      </c>
      <c r="CI6" s="92">
        <v>24247</v>
      </c>
      <c r="CJ6" s="92">
        <v>536890</v>
      </c>
      <c r="CK6" s="92">
        <v>43936</v>
      </c>
      <c r="CL6" s="92">
        <v>174267</v>
      </c>
      <c r="CM6" s="92">
        <v>20050</v>
      </c>
      <c r="CN6" s="92">
        <v>267506</v>
      </c>
      <c r="CO6" s="92">
        <v>31962</v>
      </c>
      <c r="CP6" s="92">
        <v>58590</v>
      </c>
      <c r="CQ6" s="92">
        <v>8604.5300000000007</v>
      </c>
      <c r="CR6" s="92">
        <v>111863</v>
      </c>
      <c r="CS6" s="92">
        <v>15880.83</v>
      </c>
      <c r="CT6" s="92">
        <v>65431</v>
      </c>
      <c r="CU6" s="92">
        <v>3168.208384</v>
      </c>
      <c r="CV6" s="92">
        <v>113246</v>
      </c>
      <c r="CW6" s="92">
        <v>5527.3314469999996</v>
      </c>
      <c r="CX6" s="92">
        <v>1606193</v>
      </c>
      <c r="CY6" s="92">
        <v>222485</v>
      </c>
      <c r="CZ6" s="92">
        <v>2915465</v>
      </c>
      <c r="DA6" s="92">
        <v>390131</v>
      </c>
      <c r="DB6" s="92">
        <v>365081</v>
      </c>
      <c r="DC6" s="92">
        <v>52419</v>
      </c>
      <c r="DD6" s="92">
        <v>633716</v>
      </c>
      <c r="DE6" s="92">
        <v>94327</v>
      </c>
      <c r="DF6" s="92">
        <v>5210656</v>
      </c>
      <c r="DG6" s="76">
        <v>230060</v>
      </c>
      <c r="DH6" s="76"/>
      <c r="DI6" s="76"/>
      <c r="DJ6" s="140">
        <v>1360214</v>
      </c>
      <c r="DK6" s="140">
        <v>118515.31</v>
      </c>
      <c r="DL6" s="140">
        <v>2298378</v>
      </c>
      <c r="DM6" s="140">
        <v>225457.74</v>
      </c>
      <c r="DN6" s="140">
        <v>2845020</v>
      </c>
      <c r="DO6" s="140">
        <v>179761.37</v>
      </c>
      <c r="DP6" s="140">
        <v>5053622</v>
      </c>
      <c r="DQ6" s="140">
        <v>332691.58</v>
      </c>
      <c r="DR6" s="92">
        <v>13828</v>
      </c>
      <c r="DS6" s="76">
        <v>1451</v>
      </c>
      <c r="DT6" s="76">
        <v>25238</v>
      </c>
      <c r="DU6" s="76">
        <v>2632</v>
      </c>
    </row>
    <row r="7" spans="1:125" x14ac:dyDescent="0.25">
      <c r="A7" s="76" t="s">
        <v>113</v>
      </c>
      <c r="B7" s="92"/>
      <c r="C7" s="92"/>
      <c r="D7" s="92"/>
      <c r="E7" s="92"/>
      <c r="F7" s="92">
        <v>70396</v>
      </c>
      <c r="G7" s="92">
        <v>11628</v>
      </c>
      <c r="H7" s="92">
        <v>151896</v>
      </c>
      <c r="I7" s="92">
        <v>23499</v>
      </c>
      <c r="J7" s="92"/>
      <c r="K7" s="92"/>
      <c r="L7" s="92"/>
      <c r="M7" s="92"/>
      <c r="N7" s="92">
        <v>1400391</v>
      </c>
      <c r="O7" s="92">
        <v>30039</v>
      </c>
      <c r="P7" s="92">
        <v>2560991</v>
      </c>
      <c r="Q7" s="92">
        <v>54226</v>
      </c>
      <c r="R7" s="92">
        <v>51799</v>
      </c>
      <c r="S7" s="92">
        <v>16228</v>
      </c>
      <c r="T7" s="92">
        <v>37631</v>
      </c>
      <c r="U7" s="92">
        <v>13083</v>
      </c>
      <c r="V7" s="92">
        <v>484807</v>
      </c>
      <c r="W7" s="92">
        <v>26330</v>
      </c>
      <c r="X7" s="92">
        <v>718496</v>
      </c>
      <c r="Y7" s="92">
        <v>44092</v>
      </c>
      <c r="Z7" s="92"/>
      <c r="AA7" s="92"/>
      <c r="AB7" s="92"/>
      <c r="AC7" s="92">
        <v>0.08</v>
      </c>
      <c r="AD7" s="92"/>
      <c r="AE7" s="92"/>
      <c r="AF7" s="92">
        <v>1</v>
      </c>
      <c r="AG7" s="92">
        <v>0.06</v>
      </c>
      <c r="AH7" s="92">
        <v>266700</v>
      </c>
      <c r="AI7" s="92">
        <v>5923.72</v>
      </c>
      <c r="AJ7" s="92">
        <v>471820</v>
      </c>
      <c r="AK7" s="92">
        <v>10316.209999999999</v>
      </c>
      <c r="AL7" s="92">
        <v>3356</v>
      </c>
      <c r="AM7" s="92">
        <v>426</v>
      </c>
      <c r="AN7" s="92">
        <v>4896</v>
      </c>
      <c r="AO7" s="92">
        <v>593</v>
      </c>
      <c r="AP7" s="92">
        <v>473288</v>
      </c>
      <c r="AQ7" s="92">
        <v>39203</v>
      </c>
      <c r="AR7" s="92">
        <v>876312</v>
      </c>
      <c r="AS7" s="92">
        <v>71454</v>
      </c>
      <c r="AT7" s="92">
        <v>625447</v>
      </c>
      <c r="AU7" s="92">
        <v>34128</v>
      </c>
      <c r="AV7" s="92">
        <v>1066042</v>
      </c>
      <c r="AW7" s="92">
        <v>63315</v>
      </c>
      <c r="AX7" s="92">
        <v>90145</v>
      </c>
      <c r="AY7" s="92">
        <v>2604.9499999999998</v>
      </c>
      <c r="AZ7" s="92">
        <v>152354</v>
      </c>
      <c r="BA7" s="92">
        <v>4145.8999999999996</v>
      </c>
      <c r="BB7" s="92">
        <v>30712</v>
      </c>
      <c r="BC7" s="92">
        <v>3429.76</v>
      </c>
      <c r="BD7" s="92">
        <v>50089</v>
      </c>
      <c r="BE7" s="92">
        <v>6108.53</v>
      </c>
      <c r="BF7" s="92">
        <v>2598</v>
      </c>
      <c r="BG7" s="92">
        <v>39</v>
      </c>
      <c r="BH7" s="92">
        <v>3056</v>
      </c>
      <c r="BI7" s="92">
        <v>53</v>
      </c>
      <c r="BJ7" s="92">
        <v>2622</v>
      </c>
      <c r="BK7" s="92">
        <v>27</v>
      </c>
      <c r="BL7" s="92">
        <v>4876</v>
      </c>
      <c r="BM7" s="92">
        <v>86</v>
      </c>
      <c r="BN7" s="92">
        <v>8438</v>
      </c>
      <c r="BO7" s="92">
        <v>3969</v>
      </c>
      <c r="BP7" s="92">
        <v>14713</v>
      </c>
      <c r="BQ7" s="92">
        <v>6987</v>
      </c>
      <c r="BR7" s="123">
        <v>63130</v>
      </c>
      <c r="BS7" s="123">
        <v>13012.84</v>
      </c>
      <c r="BT7" s="124">
        <v>114900</v>
      </c>
      <c r="BU7" s="124">
        <v>22607.09</v>
      </c>
      <c r="BV7" s="92">
        <v>8078</v>
      </c>
      <c r="BW7" s="92">
        <v>407.16</v>
      </c>
      <c r="BX7" s="92">
        <v>15048</v>
      </c>
      <c r="BY7" s="92">
        <v>970.98</v>
      </c>
      <c r="BZ7" s="92"/>
      <c r="CA7" s="92"/>
      <c r="CB7" s="92"/>
      <c r="CC7" s="92"/>
      <c r="CD7" s="92"/>
      <c r="CE7" s="92"/>
      <c r="CF7" s="92"/>
      <c r="CG7" s="92"/>
      <c r="CH7" s="92">
        <v>188172</v>
      </c>
      <c r="CI7" s="92">
        <v>9286</v>
      </c>
      <c r="CJ7" s="92">
        <v>325518</v>
      </c>
      <c r="CK7" s="92">
        <v>16137</v>
      </c>
      <c r="CL7" s="92">
        <v>14890</v>
      </c>
      <c r="CM7" s="92">
        <v>2303</v>
      </c>
      <c r="CN7" s="92">
        <v>22353</v>
      </c>
      <c r="CO7" s="92">
        <v>3349</v>
      </c>
      <c r="CP7" s="92">
        <v>488729</v>
      </c>
      <c r="CQ7" s="92">
        <v>56458.61</v>
      </c>
      <c r="CR7" s="92">
        <v>809713</v>
      </c>
      <c r="CS7" s="92">
        <v>82791.100000000006</v>
      </c>
      <c r="CT7" s="92">
        <v>6088</v>
      </c>
      <c r="CU7" s="92">
        <v>212.02950999999999</v>
      </c>
      <c r="CV7" s="92">
        <v>9608</v>
      </c>
      <c r="CW7" s="92">
        <v>299.26263999999998</v>
      </c>
      <c r="CX7" s="92">
        <v>44958</v>
      </c>
      <c r="CY7" s="76">
        <v>8346</v>
      </c>
      <c r="CZ7" s="92">
        <v>77056</v>
      </c>
      <c r="DA7" s="76">
        <v>14154</v>
      </c>
      <c r="DB7" s="92">
        <v>280613</v>
      </c>
      <c r="DC7" s="92">
        <v>31797</v>
      </c>
      <c r="DD7" s="92">
        <v>465107</v>
      </c>
      <c r="DE7" s="92">
        <v>53474</v>
      </c>
      <c r="DF7" s="92">
        <v>87295</v>
      </c>
      <c r="DG7" s="92">
        <v>6221</v>
      </c>
      <c r="DH7" s="76"/>
      <c r="DI7" s="76"/>
      <c r="DJ7" s="140">
        <v>67948</v>
      </c>
      <c r="DK7" s="140">
        <v>5761.62</v>
      </c>
      <c r="DL7" s="140">
        <v>109976</v>
      </c>
      <c r="DM7" s="140">
        <v>11077</v>
      </c>
      <c r="DN7" s="173">
        <v>92530</v>
      </c>
      <c r="DO7" s="140">
        <v>7871.34</v>
      </c>
      <c r="DP7" s="140">
        <v>156923</v>
      </c>
      <c r="DQ7" s="140">
        <v>21328.92</v>
      </c>
      <c r="DR7" s="92">
        <v>153458</v>
      </c>
      <c r="DS7" s="76">
        <v>6392</v>
      </c>
      <c r="DT7" s="76">
        <v>257357</v>
      </c>
      <c r="DU7" s="76">
        <v>13933</v>
      </c>
    </row>
    <row r="8" spans="1:125" x14ac:dyDescent="0.25">
      <c r="A8" s="76" t="s">
        <v>114</v>
      </c>
      <c r="B8" s="92">
        <v>60137</v>
      </c>
      <c r="C8" s="92">
        <v>2533</v>
      </c>
      <c r="D8" s="92">
        <v>101425</v>
      </c>
      <c r="E8" s="92">
        <v>4224</v>
      </c>
      <c r="F8" s="92">
        <v>1851</v>
      </c>
      <c r="G8" s="92">
        <v>4582</v>
      </c>
      <c r="H8" s="92">
        <v>2917</v>
      </c>
      <c r="I8" s="92">
        <v>7968</v>
      </c>
      <c r="J8" s="92"/>
      <c r="K8" s="92"/>
      <c r="L8" s="92"/>
      <c r="M8" s="92"/>
      <c r="N8" s="92">
        <v>594294</v>
      </c>
      <c r="O8" s="92">
        <v>10459</v>
      </c>
      <c r="P8" s="92">
        <v>1548219</v>
      </c>
      <c r="Q8" s="92">
        <v>18757</v>
      </c>
      <c r="R8" s="92">
        <v>5420</v>
      </c>
      <c r="S8" s="92">
        <v>3442</v>
      </c>
      <c r="T8" s="92">
        <v>5475</v>
      </c>
      <c r="U8" s="92">
        <v>2333</v>
      </c>
      <c r="V8" s="92">
        <v>1093566</v>
      </c>
      <c r="W8" s="92">
        <v>48144</v>
      </c>
      <c r="X8" s="92">
        <v>1886435</v>
      </c>
      <c r="Y8" s="92">
        <v>81881</v>
      </c>
      <c r="Z8" s="92"/>
      <c r="AA8" s="92"/>
      <c r="AB8" s="92"/>
      <c r="AC8" s="92"/>
      <c r="AD8" s="92">
        <v>1159</v>
      </c>
      <c r="AE8" s="92">
        <v>80.95</v>
      </c>
      <c r="AF8" s="92">
        <v>2401</v>
      </c>
      <c r="AG8" s="92">
        <v>162.66999999999999</v>
      </c>
      <c r="AH8" s="92">
        <v>15651</v>
      </c>
      <c r="AI8" s="92">
        <v>840.54</v>
      </c>
      <c r="AJ8" s="92">
        <v>26037</v>
      </c>
      <c r="AK8" s="92">
        <v>1374.93</v>
      </c>
      <c r="AL8" s="92">
        <v>11682</v>
      </c>
      <c r="AM8" s="92">
        <v>1003</v>
      </c>
      <c r="AN8" s="92">
        <v>19269</v>
      </c>
      <c r="AO8" s="92">
        <v>2027</v>
      </c>
      <c r="AP8" s="92">
        <v>92475</v>
      </c>
      <c r="AQ8" s="92">
        <v>17439</v>
      </c>
      <c r="AR8" s="92">
        <v>163442</v>
      </c>
      <c r="AS8" s="92">
        <v>28773</v>
      </c>
      <c r="AT8" s="92">
        <v>179629</v>
      </c>
      <c r="AU8" s="92">
        <v>16155</v>
      </c>
      <c r="AV8" s="92">
        <v>379009</v>
      </c>
      <c r="AW8" s="92">
        <v>26089</v>
      </c>
      <c r="AX8" s="92">
        <v>9683</v>
      </c>
      <c r="AY8" s="92">
        <v>584.70000000000005</v>
      </c>
      <c r="AZ8" s="92">
        <v>17904</v>
      </c>
      <c r="BA8" s="92">
        <v>1078.71</v>
      </c>
      <c r="BB8" s="92">
        <v>4602</v>
      </c>
      <c r="BC8" s="92">
        <v>416.93</v>
      </c>
      <c r="BD8" s="92">
        <v>7191</v>
      </c>
      <c r="BE8" s="92">
        <v>683.48</v>
      </c>
      <c r="BF8" s="92">
        <v>8178</v>
      </c>
      <c r="BG8" s="92">
        <v>654</v>
      </c>
      <c r="BH8" s="92">
        <v>15253</v>
      </c>
      <c r="BI8" s="92">
        <v>1161</v>
      </c>
      <c r="BJ8" s="92">
        <v>18035</v>
      </c>
      <c r="BK8" s="92">
        <v>1947</v>
      </c>
      <c r="BL8" s="92">
        <v>33966</v>
      </c>
      <c r="BM8" s="92">
        <v>3824</v>
      </c>
      <c r="BN8" s="92">
        <v>3466</v>
      </c>
      <c r="BO8" s="92">
        <v>1843</v>
      </c>
      <c r="BP8" s="92">
        <v>6365</v>
      </c>
      <c r="BQ8" s="92">
        <v>2973</v>
      </c>
      <c r="BR8" s="123">
        <v>556</v>
      </c>
      <c r="BS8" s="123">
        <v>5986.39</v>
      </c>
      <c r="BT8" s="124">
        <v>1084</v>
      </c>
      <c r="BU8" s="124">
        <v>12994.08</v>
      </c>
      <c r="BV8" s="92">
        <v>880047</v>
      </c>
      <c r="BW8" s="92">
        <v>9072.31</v>
      </c>
      <c r="BX8" s="92">
        <v>1713544</v>
      </c>
      <c r="BY8" s="92">
        <v>17035.07</v>
      </c>
      <c r="BZ8" s="92">
        <v>26396</v>
      </c>
      <c r="CA8" s="92">
        <v>1384</v>
      </c>
      <c r="CB8" s="92">
        <v>28322</v>
      </c>
      <c r="CC8" s="92">
        <v>1438</v>
      </c>
      <c r="CD8" s="92"/>
      <c r="CE8" s="92"/>
      <c r="CF8" s="92"/>
      <c r="CG8" s="92"/>
      <c r="CH8" s="92">
        <v>82396</v>
      </c>
      <c r="CI8" s="92">
        <v>10866</v>
      </c>
      <c r="CJ8" s="92">
        <v>127379</v>
      </c>
      <c r="CK8" s="92">
        <v>18394</v>
      </c>
      <c r="CL8" s="92">
        <v>27323</v>
      </c>
      <c r="CM8" s="92">
        <v>6276</v>
      </c>
      <c r="CN8" s="92">
        <v>61403</v>
      </c>
      <c r="CO8" s="92">
        <v>13747</v>
      </c>
      <c r="CP8" s="92">
        <v>19291</v>
      </c>
      <c r="CQ8" s="92">
        <v>1219.57</v>
      </c>
      <c r="CR8" s="92">
        <v>36172</v>
      </c>
      <c r="CS8" s="92">
        <v>2451.54</v>
      </c>
      <c r="CT8" s="92">
        <v>368856</v>
      </c>
      <c r="CU8" s="92">
        <v>18485.36752</v>
      </c>
      <c r="CV8" s="92">
        <v>667494</v>
      </c>
      <c r="CW8" s="92">
        <v>36127.566129999999</v>
      </c>
      <c r="CX8" s="92">
        <v>4494</v>
      </c>
      <c r="CY8" s="76">
        <v>2528</v>
      </c>
      <c r="CZ8" s="92">
        <v>10356</v>
      </c>
      <c r="DA8" s="76">
        <v>3180</v>
      </c>
      <c r="DB8" s="92">
        <v>22520</v>
      </c>
      <c r="DC8" s="92">
        <v>4911</v>
      </c>
      <c r="DD8" s="92">
        <v>42746</v>
      </c>
      <c r="DE8" s="92">
        <v>8259</v>
      </c>
      <c r="DF8" s="31">
        <v>1522144</v>
      </c>
      <c r="DG8" s="92">
        <v>50943</v>
      </c>
      <c r="DH8" s="76"/>
      <c r="DI8" s="76"/>
      <c r="DJ8" s="140">
        <v>45577</v>
      </c>
      <c r="DK8" s="140">
        <v>1052.6300000000001</v>
      </c>
      <c r="DL8" s="140">
        <v>78310</v>
      </c>
      <c r="DM8" s="140">
        <v>2720.49</v>
      </c>
      <c r="DN8" s="173">
        <v>13617</v>
      </c>
      <c r="DO8" s="140">
        <v>3114.4</v>
      </c>
      <c r="DP8" s="140">
        <v>22444</v>
      </c>
      <c r="DQ8" s="140">
        <v>4973.0600000000004</v>
      </c>
      <c r="DR8" s="76">
        <v>64</v>
      </c>
      <c r="DS8" s="76">
        <v>4</v>
      </c>
      <c r="DT8" s="76">
        <v>132</v>
      </c>
      <c r="DU8" s="76">
        <v>6</v>
      </c>
    </row>
    <row r="9" spans="1:125" x14ac:dyDescent="0.25">
      <c r="A9" s="76" t="s">
        <v>115</v>
      </c>
      <c r="B9" s="92">
        <v>139021</v>
      </c>
      <c r="C9" s="92">
        <v>5745</v>
      </c>
      <c r="D9" s="92">
        <v>166277</v>
      </c>
      <c r="E9" s="92">
        <v>11303</v>
      </c>
      <c r="F9" s="92">
        <v>21937</v>
      </c>
      <c r="G9" s="92">
        <v>14857</v>
      </c>
      <c r="H9" s="92">
        <v>31875</v>
      </c>
      <c r="I9" s="92">
        <v>26830</v>
      </c>
      <c r="J9" s="92">
        <v>368753</v>
      </c>
      <c r="K9" s="92">
        <v>7746</v>
      </c>
      <c r="L9" s="92">
        <v>838045</v>
      </c>
      <c r="M9" s="92">
        <v>14954</v>
      </c>
      <c r="N9" s="92">
        <v>1450254</v>
      </c>
      <c r="O9" s="92">
        <v>112491</v>
      </c>
      <c r="P9" s="92">
        <v>2365804</v>
      </c>
      <c r="Q9" s="92">
        <v>222628</v>
      </c>
      <c r="R9" s="92">
        <v>67415</v>
      </c>
      <c r="S9" s="92">
        <v>23164</v>
      </c>
      <c r="T9" s="92">
        <v>63109</v>
      </c>
      <c r="U9" s="92">
        <v>16707</v>
      </c>
      <c r="V9" s="92">
        <v>733542</v>
      </c>
      <c r="W9" s="92">
        <v>38157</v>
      </c>
      <c r="X9" s="92">
        <v>1044820</v>
      </c>
      <c r="Y9" s="92">
        <v>67278</v>
      </c>
      <c r="Z9" s="92">
        <v>78</v>
      </c>
      <c r="AA9" s="92">
        <v>3275.46</v>
      </c>
      <c r="AB9" s="92">
        <v>141</v>
      </c>
      <c r="AC9" s="92">
        <v>5693.54</v>
      </c>
      <c r="AD9" s="92">
        <v>41866</v>
      </c>
      <c r="AE9" s="92">
        <v>6556.41</v>
      </c>
      <c r="AF9" s="92">
        <v>55461</v>
      </c>
      <c r="AG9" s="92">
        <v>10129.99</v>
      </c>
      <c r="AH9" s="92">
        <v>237724</v>
      </c>
      <c r="AI9" s="92">
        <v>35860.050000000003</v>
      </c>
      <c r="AJ9" s="92">
        <v>373983</v>
      </c>
      <c r="AK9" s="92">
        <v>67916.460000000006</v>
      </c>
      <c r="AL9" s="92">
        <v>893845</v>
      </c>
      <c r="AM9" s="92">
        <v>57207</v>
      </c>
      <c r="AN9" s="92">
        <v>1313729</v>
      </c>
      <c r="AO9" s="92">
        <v>103123</v>
      </c>
      <c r="AP9" s="92">
        <v>841168</v>
      </c>
      <c r="AQ9" s="92">
        <v>89366</v>
      </c>
      <c r="AR9" s="92">
        <v>1404291</v>
      </c>
      <c r="AS9" s="92">
        <v>183725</v>
      </c>
      <c r="AT9" s="92">
        <v>3055111</v>
      </c>
      <c r="AU9" s="92">
        <v>185048</v>
      </c>
      <c r="AV9" s="92">
        <v>5730025</v>
      </c>
      <c r="AW9" s="92">
        <v>392701</v>
      </c>
      <c r="AX9" s="92">
        <v>801211</v>
      </c>
      <c r="AY9" s="92">
        <v>103552.81</v>
      </c>
      <c r="AZ9" s="92">
        <v>1282054</v>
      </c>
      <c r="BA9" s="92">
        <v>200930.52</v>
      </c>
      <c r="BB9" s="92">
        <v>284840</v>
      </c>
      <c r="BC9" s="92">
        <v>4906.08</v>
      </c>
      <c r="BD9" s="92">
        <v>396210</v>
      </c>
      <c r="BE9" s="92">
        <v>7806.01</v>
      </c>
      <c r="BF9" s="92">
        <v>414634</v>
      </c>
      <c r="BG9" s="92">
        <v>25580</v>
      </c>
      <c r="BH9" s="92">
        <v>675478</v>
      </c>
      <c r="BI9" s="92">
        <v>49608</v>
      </c>
      <c r="BJ9" s="92">
        <v>207157</v>
      </c>
      <c r="BK9" s="92">
        <v>22578</v>
      </c>
      <c r="BL9" s="92">
        <v>316033</v>
      </c>
      <c r="BM9" s="92">
        <v>40174</v>
      </c>
      <c r="BN9" s="92">
        <v>29977</v>
      </c>
      <c r="BO9" s="92">
        <v>7155</v>
      </c>
      <c r="BP9" s="92">
        <v>55411</v>
      </c>
      <c r="BQ9" s="92">
        <v>13711</v>
      </c>
      <c r="BR9" s="123">
        <v>66977</v>
      </c>
      <c r="BS9" s="123">
        <v>9890.06</v>
      </c>
      <c r="BT9" s="124">
        <v>86259</v>
      </c>
      <c r="BU9" s="124">
        <v>13585.93</v>
      </c>
      <c r="BV9" s="92">
        <v>541984</v>
      </c>
      <c r="BW9" s="92">
        <v>81742.899999999994</v>
      </c>
      <c r="BX9" s="92">
        <v>944513</v>
      </c>
      <c r="BY9" s="92">
        <v>180481.53</v>
      </c>
      <c r="BZ9" s="92">
        <v>34577</v>
      </c>
      <c r="CA9" s="92">
        <v>1081</v>
      </c>
      <c r="CB9" s="92">
        <v>41012</v>
      </c>
      <c r="CC9" s="92">
        <v>1141</v>
      </c>
      <c r="CD9" s="92">
        <v>36336</v>
      </c>
      <c r="CE9" s="92">
        <v>7908.74</v>
      </c>
      <c r="CF9" s="92">
        <v>68804</v>
      </c>
      <c r="CG9" s="92">
        <v>14375.73</v>
      </c>
      <c r="CH9" s="92">
        <v>663430</v>
      </c>
      <c r="CI9" s="92">
        <v>70462</v>
      </c>
      <c r="CJ9" s="92">
        <v>1092965</v>
      </c>
      <c r="CK9" s="92">
        <v>150929</v>
      </c>
      <c r="CL9" s="92">
        <v>258211</v>
      </c>
      <c r="CM9" s="92">
        <v>36834</v>
      </c>
      <c r="CN9" s="92">
        <v>425226</v>
      </c>
      <c r="CO9" s="92">
        <v>70073</v>
      </c>
      <c r="CP9" s="92">
        <v>458957</v>
      </c>
      <c r="CQ9" s="92">
        <v>63061.54</v>
      </c>
      <c r="CR9" s="92">
        <v>681982</v>
      </c>
      <c r="CS9" s="92">
        <v>123771.01</v>
      </c>
      <c r="CT9" s="92">
        <v>87254</v>
      </c>
      <c r="CU9" s="92">
        <v>5364.7468779999999</v>
      </c>
      <c r="CV9" s="92">
        <v>118172</v>
      </c>
      <c r="CW9" s="92">
        <v>8298.0372759999991</v>
      </c>
      <c r="CX9" s="92">
        <v>69142</v>
      </c>
      <c r="CY9" s="76">
        <v>29488</v>
      </c>
      <c r="CZ9" s="92">
        <v>102285</v>
      </c>
      <c r="DA9" s="76">
        <v>47240</v>
      </c>
      <c r="DB9" s="92">
        <v>763024</v>
      </c>
      <c r="DC9" s="92">
        <v>93732</v>
      </c>
      <c r="DD9" s="92">
        <v>1416301</v>
      </c>
      <c r="DE9" s="92">
        <v>192274</v>
      </c>
      <c r="DF9" s="92">
        <v>701486</v>
      </c>
      <c r="DG9" s="92">
        <v>245435</v>
      </c>
      <c r="DH9" s="76"/>
      <c r="DI9" s="76"/>
      <c r="DJ9" s="140">
        <v>241506</v>
      </c>
      <c r="DK9" s="140">
        <v>93326.6</v>
      </c>
      <c r="DL9" s="140">
        <v>4621781</v>
      </c>
      <c r="DM9" s="140">
        <v>181097.42</v>
      </c>
      <c r="DN9" s="173">
        <v>93345</v>
      </c>
      <c r="DO9" s="140">
        <v>73776.740000000005</v>
      </c>
      <c r="DP9" s="140">
        <v>176224</v>
      </c>
      <c r="DQ9" s="140">
        <v>155039.34</v>
      </c>
      <c r="DR9" s="92">
        <v>316019</v>
      </c>
      <c r="DS9" s="76">
        <v>39440</v>
      </c>
      <c r="DT9" s="76">
        <v>486239</v>
      </c>
      <c r="DU9" s="76">
        <v>64434</v>
      </c>
    </row>
    <row r="10" spans="1:125" x14ac:dyDescent="0.25">
      <c r="A10" s="76" t="s">
        <v>116</v>
      </c>
      <c r="B10" s="92"/>
      <c r="C10" s="92"/>
      <c r="D10" s="92"/>
      <c r="E10" s="92"/>
      <c r="F10" s="92"/>
      <c r="G10" s="92"/>
      <c r="H10" s="92"/>
      <c r="I10" s="92"/>
      <c r="J10" s="92">
        <v>10130</v>
      </c>
      <c r="K10" s="92">
        <v>103</v>
      </c>
      <c r="L10" s="92">
        <v>10124</v>
      </c>
      <c r="M10" s="92">
        <v>102</v>
      </c>
      <c r="N10" s="92"/>
      <c r="O10" s="92"/>
      <c r="P10" s="92"/>
      <c r="Q10" s="92"/>
      <c r="R10" s="92">
        <v>2</v>
      </c>
      <c r="S10" s="92">
        <v>2226</v>
      </c>
      <c r="T10" s="92">
        <v>5</v>
      </c>
      <c r="U10" s="92">
        <v>430</v>
      </c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>
        <v>3594</v>
      </c>
      <c r="BC10" s="92">
        <v>12</v>
      </c>
      <c r="BD10" s="92">
        <v>6212</v>
      </c>
      <c r="BE10" s="92">
        <v>19.260000000000002</v>
      </c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24"/>
      <c r="BS10" s="24"/>
      <c r="BT10" s="24"/>
      <c r="BU10" s="24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>
        <v>8</v>
      </c>
      <c r="CM10" s="92"/>
      <c r="CN10" s="92">
        <v>20</v>
      </c>
      <c r="CO10" s="92">
        <v>1</v>
      </c>
      <c r="CP10" s="92">
        <v>10</v>
      </c>
      <c r="CQ10" s="92">
        <v>0.12</v>
      </c>
      <c r="CR10" s="92">
        <v>10</v>
      </c>
      <c r="CS10" s="92">
        <v>0.12</v>
      </c>
      <c r="CT10" s="92"/>
      <c r="CU10" s="92"/>
      <c r="CV10" s="92"/>
      <c r="CW10" s="92"/>
      <c r="CX10" s="76"/>
      <c r="CY10" s="76"/>
      <c r="CZ10" s="76"/>
      <c r="DA10" s="76"/>
      <c r="DB10" s="92"/>
      <c r="DC10" s="92"/>
      <c r="DD10" s="92"/>
      <c r="DE10" s="92"/>
      <c r="DF10" s="76">
        <v>16</v>
      </c>
      <c r="DG10" s="76">
        <v>1</v>
      </c>
      <c r="DH10" s="76"/>
      <c r="DI10" s="76"/>
      <c r="DJ10" s="141"/>
      <c r="DK10" s="141"/>
      <c r="DL10" s="141"/>
      <c r="DM10" s="141"/>
      <c r="DN10" s="174"/>
      <c r="DO10" s="76"/>
      <c r="DP10" s="76"/>
      <c r="DQ10" s="76"/>
      <c r="DR10" s="76"/>
      <c r="DS10" s="76"/>
      <c r="DT10" s="76"/>
      <c r="DU10" s="76"/>
    </row>
    <row r="11" spans="1:125" x14ac:dyDescent="0.25">
      <c r="A11" s="76" t="s">
        <v>117</v>
      </c>
      <c r="B11" s="92">
        <v>725222</v>
      </c>
      <c r="C11" s="92">
        <v>16104</v>
      </c>
      <c r="D11" s="92">
        <v>975779</v>
      </c>
      <c r="E11" s="92">
        <v>25833</v>
      </c>
      <c r="F11" s="92">
        <f>2627+1542</f>
        <v>4169</v>
      </c>
      <c r="G11" s="92">
        <f>1456+246</f>
        <v>1702</v>
      </c>
      <c r="H11" s="92">
        <f>6545+5860</f>
        <v>12405</v>
      </c>
      <c r="I11" s="92">
        <f>3184+744</f>
        <v>3928</v>
      </c>
      <c r="J11" s="92">
        <v>955</v>
      </c>
      <c r="K11" s="92">
        <v>75</v>
      </c>
      <c r="L11" s="92">
        <v>-237</v>
      </c>
      <c r="M11" s="92">
        <v>157</v>
      </c>
      <c r="N11" s="92"/>
      <c r="O11" s="92"/>
      <c r="P11" s="92"/>
      <c r="Q11" s="92"/>
      <c r="R11" s="92">
        <v>41695</v>
      </c>
      <c r="S11" s="92">
        <v>13649</v>
      </c>
      <c r="T11" s="92">
        <v>33123</v>
      </c>
      <c r="U11" s="92">
        <v>5772</v>
      </c>
      <c r="V11" s="92">
        <v>27295</v>
      </c>
      <c r="W11" s="92">
        <v>6104</v>
      </c>
      <c r="X11" s="92">
        <v>43787</v>
      </c>
      <c r="Y11" s="92">
        <v>12353</v>
      </c>
      <c r="Z11" s="92">
        <v>783</v>
      </c>
      <c r="AA11" s="92">
        <v>8853.8700000000008</v>
      </c>
      <c r="AB11" s="92">
        <v>1271</v>
      </c>
      <c r="AC11" s="92">
        <v>15459.71</v>
      </c>
      <c r="AD11" s="92">
        <v>9830</v>
      </c>
      <c r="AE11" s="92">
        <v>2075.41</v>
      </c>
      <c r="AF11" s="92">
        <v>16826</v>
      </c>
      <c r="AG11" s="92">
        <v>3413.32</v>
      </c>
      <c r="AH11" s="92">
        <v>135425</v>
      </c>
      <c r="AI11" s="92">
        <v>50314.19</v>
      </c>
      <c r="AJ11" s="92">
        <v>237456</v>
      </c>
      <c r="AK11" s="92">
        <v>66544.06</v>
      </c>
      <c r="AL11" s="92">
        <v>460905</v>
      </c>
      <c r="AM11" s="92">
        <v>22637</v>
      </c>
      <c r="AN11" s="92">
        <v>774729</v>
      </c>
      <c r="AO11" s="92">
        <v>42695</v>
      </c>
      <c r="AP11" s="92">
        <v>220383</v>
      </c>
      <c r="AQ11" s="92">
        <v>185590</v>
      </c>
      <c r="AR11" s="92">
        <v>461536</v>
      </c>
      <c r="AS11" s="92">
        <v>221762</v>
      </c>
      <c r="AT11" s="92">
        <f>223064+274447</f>
        <v>497511</v>
      </c>
      <c r="AU11" s="92">
        <f>8874+118802</f>
        <v>127676</v>
      </c>
      <c r="AV11" s="92">
        <f>391593+509319</f>
        <v>900912</v>
      </c>
      <c r="AW11" s="92">
        <f>16333+214637</f>
        <v>230970</v>
      </c>
      <c r="AX11" s="92">
        <v>104523</v>
      </c>
      <c r="AY11" s="92">
        <v>93761.12</v>
      </c>
      <c r="AZ11" s="92">
        <v>178397</v>
      </c>
      <c r="BA11" s="92">
        <v>132162.06</v>
      </c>
      <c r="BB11" s="92">
        <v>330211</v>
      </c>
      <c r="BC11" s="92">
        <v>5947.05</v>
      </c>
      <c r="BD11" s="92">
        <v>578451</v>
      </c>
      <c r="BE11" s="92">
        <v>10279.36</v>
      </c>
      <c r="BF11" s="92">
        <v>155709</v>
      </c>
      <c r="BG11" s="92">
        <v>1879</v>
      </c>
      <c r="BH11" s="92">
        <v>231483</v>
      </c>
      <c r="BI11" s="92">
        <v>4562</v>
      </c>
      <c r="BJ11" s="92">
        <v>28580</v>
      </c>
      <c r="BK11" s="92">
        <v>3130</v>
      </c>
      <c r="BL11" s="92">
        <v>48868</v>
      </c>
      <c r="BM11" s="92">
        <v>4590</v>
      </c>
      <c r="BN11" s="92">
        <v>5822</v>
      </c>
      <c r="BO11" s="92">
        <v>3672</v>
      </c>
      <c r="BP11" s="92">
        <v>11930</v>
      </c>
      <c r="BQ11" s="92">
        <v>8122</v>
      </c>
      <c r="BR11" s="123">
        <v>53983</v>
      </c>
      <c r="BS11" s="81">
        <v>12607.27</v>
      </c>
      <c r="BT11" s="124">
        <v>112717</v>
      </c>
      <c r="BU11" s="124">
        <v>24159.82</v>
      </c>
      <c r="BV11" s="92">
        <v>78511</v>
      </c>
      <c r="BW11" s="92">
        <v>132189.04</v>
      </c>
      <c r="BX11" s="92">
        <v>137720</v>
      </c>
      <c r="BY11" s="92">
        <v>208670.66</v>
      </c>
      <c r="BZ11" s="92">
        <v>27224</v>
      </c>
      <c r="CA11" s="92">
        <v>347</v>
      </c>
      <c r="CB11" s="92">
        <v>33356</v>
      </c>
      <c r="CC11" s="92">
        <v>474</v>
      </c>
      <c r="CD11" s="92">
        <v>6301</v>
      </c>
      <c r="CE11" s="92">
        <v>972.32</v>
      </c>
      <c r="CF11" s="92">
        <v>12884</v>
      </c>
      <c r="CG11" s="92">
        <v>1908.5</v>
      </c>
      <c r="CH11" s="92">
        <f>74142+75721</f>
        <v>149863</v>
      </c>
      <c r="CI11" s="92">
        <f>1694+168597</f>
        <v>170291</v>
      </c>
      <c r="CJ11" s="92">
        <f>129270+127048</f>
        <v>256318</v>
      </c>
      <c r="CK11" s="92">
        <f>3140+247663</f>
        <v>250803</v>
      </c>
      <c r="CL11" s="92">
        <v>98663</v>
      </c>
      <c r="CM11" s="92">
        <v>7884</v>
      </c>
      <c r="CN11" s="92">
        <v>180832</v>
      </c>
      <c r="CO11" s="92">
        <v>16147</v>
      </c>
      <c r="CP11" s="92">
        <v>4909909</v>
      </c>
      <c r="CQ11" s="92">
        <v>160444.73000000001</v>
      </c>
      <c r="CR11" s="92">
        <v>5064097</v>
      </c>
      <c r="CS11" s="92">
        <v>177120.46</v>
      </c>
      <c r="CT11" s="92">
        <v>37012</v>
      </c>
      <c r="CU11" s="92">
        <v>2149.0999919999999</v>
      </c>
      <c r="CV11" s="92">
        <v>61411</v>
      </c>
      <c r="CW11" s="92">
        <v>3499.103032</v>
      </c>
      <c r="CX11" s="92">
        <v>147683</v>
      </c>
      <c r="CY11" s="76">
        <v>24721</v>
      </c>
      <c r="CZ11" s="92">
        <v>287653</v>
      </c>
      <c r="DA11" s="76">
        <v>45315</v>
      </c>
      <c r="DB11" s="92">
        <v>244522</v>
      </c>
      <c r="DC11" s="92">
        <v>22728</v>
      </c>
      <c r="DD11" s="92">
        <v>457636</v>
      </c>
      <c r="DE11" s="92">
        <v>49424</v>
      </c>
      <c r="DF11" s="92">
        <v>340655</v>
      </c>
      <c r="DG11" s="92">
        <v>277757</v>
      </c>
      <c r="DH11" s="76"/>
      <c r="DI11" s="76"/>
      <c r="DJ11" s="140">
        <v>59755</v>
      </c>
      <c r="DK11" s="140">
        <v>169403.41</v>
      </c>
      <c r="DL11" s="140">
        <v>101803</v>
      </c>
      <c r="DM11" s="140">
        <v>270660.63</v>
      </c>
      <c r="DN11" s="174">
        <f>2196+8204+128899</f>
        <v>139299</v>
      </c>
      <c r="DO11" s="76">
        <f>4079.79+325.6+103164.39</f>
        <v>107569.78</v>
      </c>
      <c r="DP11" s="76">
        <f>3212+19932+217217</f>
        <v>240361</v>
      </c>
      <c r="DQ11" s="76">
        <f>16158.88+761.9+204073.62</f>
        <v>220994.4</v>
      </c>
      <c r="DR11" s="76">
        <f>132+2077</f>
        <v>2209</v>
      </c>
      <c r="DS11" s="76">
        <f>17+57991</f>
        <v>58008</v>
      </c>
      <c r="DT11" s="76">
        <f>701+4196</f>
        <v>4897</v>
      </c>
      <c r="DU11" s="76">
        <f>23+72279</f>
        <v>72302</v>
      </c>
    </row>
    <row r="12" spans="1:125" x14ac:dyDescent="0.25">
      <c r="A12" s="76" t="s">
        <v>31</v>
      </c>
      <c r="B12" s="92">
        <f>B13-B11-B10-B9-B8-B7-B6</f>
        <v>2236</v>
      </c>
      <c r="C12" s="92">
        <f t="shared" ref="C12:BN12" si="0">C13-C11-C10-C9-C8-C7-C6</f>
        <v>59</v>
      </c>
      <c r="D12" s="92">
        <f t="shared" si="0"/>
        <v>4755</v>
      </c>
      <c r="E12" s="92">
        <f t="shared" si="0"/>
        <v>106</v>
      </c>
      <c r="F12" s="92">
        <f t="shared" si="0"/>
        <v>6968</v>
      </c>
      <c r="G12" s="92">
        <f t="shared" si="0"/>
        <v>531</v>
      </c>
      <c r="H12" s="92">
        <f t="shared" si="0"/>
        <v>26935</v>
      </c>
      <c r="I12" s="92">
        <f t="shared" si="0"/>
        <v>2327</v>
      </c>
      <c r="J12" s="92">
        <f t="shared" si="0"/>
        <v>18824335</v>
      </c>
      <c r="K12" s="92">
        <f t="shared" si="0"/>
        <v>767500</v>
      </c>
      <c r="L12" s="92">
        <f t="shared" si="0"/>
        <v>19038024</v>
      </c>
      <c r="M12" s="92">
        <f t="shared" si="0"/>
        <v>780911</v>
      </c>
      <c r="N12" s="92">
        <f t="shared" si="0"/>
        <v>2064753</v>
      </c>
      <c r="O12" s="92">
        <f t="shared" si="0"/>
        <v>298302</v>
      </c>
      <c r="P12" s="92">
        <f t="shared" si="0"/>
        <v>2785958</v>
      </c>
      <c r="Q12" s="92">
        <f t="shared" si="0"/>
        <v>357135</v>
      </c>
      <c r="R12" s="92">
        <f t="shared" si="0"/>
        <v>0</v>
      </c>
      <c r="S12" s="92">
        <f t="shared" si="0"/>
        <v>0</v>
      </c>
      <c r="T12" s="92">
        <f t="shared" si="0"/>
        <v>0</v>
      </c>
      <c r="U12" s="92">
        <f t="shared" si="0"/>
        <v>0</v>
      </c>
      <c r="V12" s="92">
        <f t="shared" si="0"/>
        <v>97548</v>
      </c>
      <c r="W12" s="92">
        <f t="shared" si="0"/>
        <v>2275</v>
      </c>
      <c r="X12" s="92">
        <f t="shared" si="0"/>
        <v>173903</v>
      </c>
      <c r="Y12" s="92">
        <f t="shared" si="0"/>
        <v>4231</v>
      </c>
      <c r="Z12" s="92">
        <f t="shared" si="0"/>
        <v>0</v>
      </c>
      <c r="AA12" s="92">
        <f t="shared" si="0"/>
        <v>-9.0949470177292824E-13</v>
      </c>
      <c r="AB12" s="92">
        <f t="shared" si="0"/>
        <v>0</v>
      </c>
      <c r="AC12" s="92">
        <f t="shared" si="0"/>
        <v>2.6557228638424135E-12</v>
      </c>
      <c r="AD12" s="92">
        <f t="shared" si="0"/>
        <v>7049</v>
      </c>
      <c r="AE12" s="92">
        <f t="shared" si="0"/>
        <v>437.75000000000068</v>
      </c>
      <c r="AF12" s="92">
        <f t="shared" si="0"/>
        <v>28512</v>
      </c>
      <c r="AG12" s="92">
        <f t="shared" si="0"/>
        <v>1386.6500000000003</v>
      </c>
      <c r="AH12" s="92">
        <f t="shared" si="0"/>
        <v>126754</v>
      </c>
      <c r="AI12" s="92">
        <f t="shared" si="0"/>
        <v>7855.2099999999864</v>
      </c>
      <c r="AJ12" s="92">
        <f t="shared" si="0"/>
        <v>224906</v>
      </c>
      <c r="AK12" s="92">
        <f t="shared" si="0"/>
        <v>14223.350000000002</v>
      </c>
      <c r="AL12" s="92">
        <f t="shared" si="0"/>
        <v>489841</v>
      </c>
      <c r="AM12" s="92">
        <f t="shared" si="0"/>
        <v>14068</v>
      </c>
      <c r="AN12" s="92">
        <f t="shared" si="0"/>
        <v>886456</v>
      </c>
      <c r="AO12" s="92">
        <f t="shared" si="0"/>
        <v>22696</v>
      </c>
      <c r="AP12" s="92">
        <f t="shared" si="0"/>
        <v>270190</v>
      </c>
      <c r="AQ12" s="92">
        <f t="shared" si="0"/>
        <v>13959</v>
      </c>
      <c r="AR12" s="92">
        <f t="shared" si="0"/>
        <v>505622</v>
      </c>
      <c r="AS12" s="92">
        <f t="shared" si="0"/>
        <v>25966</v>
      </c>
      <c r="AT12" s="92">
        <f t="shared" si="0"/>
        <v>1651169</v>
      </c>
      <c r="AU12" s="92">
        <f t="shared" si="0"/>
        <v>33068</v>
      </c>
      <c r="AV12" s="92">
        <f t="shared" si="0"/>
        <v>2832458</v>
      </c>
      <c r="AW12" s="92">
        <f t="shared" si="0"/>
        <v>56826</v>
      </c>
      <c r="AX12" s="92">
        <f t="shared" si="0"/>
        <v>818945</v>
      </c>
      <c r="AY12" s="92">
        <f t="shared" si="0"/>
        <v>20035.360000000008</v>
      </c>
      <c r="AZ12" s="92">
        <f t="shared" si="0"/>
        <v>1436892</v>
      </c>
      <c r="BA12" s="92">
        <f t="shared" si="0"/>
        <v>35330.039999999994</v>
      </c>
      <c r="BB12" s="92">
        <f t="shared" si="0"/>
        <v>9282</v>
      </c>
      <c r="BC12" s="92">
        <f t="shared" si="0"/>
        <v>827.07999999999788</v>
      </c>
      <c r="BD12" s="92">
        <f t="shared" si="0"/>
        <v>63897</v>
      </c>
      <c r="BE12" s="92">
        <f t="shared" si="0"/>
        <v>2226.6400000000017</v>
      </c>
      <c r="BF12" s="92">
        <f t="shared" si="0"/>
        <v>161210</v>
      </c>
      <c r="BG12" s="92">
        <f t="shared" si="0"/>
        <v>4364</v>
      </c>
      <c r="BH12" s="92">
        <f t="shared" si="0"/>
        <v>295632</v>
      </c>
      <c r="BI12" s="92">
        <f t="shared" si="0"/>
        <v>8369</v>
      </c>
      <c r="BJ12" s="92">
        <f t="shared" si="0"/>
        <v>126376</v>
      </c>
      <c r="BK12" s="92">
        <f t="shared" si="0"/>
        <v>9928</v>
      </c>
      <c r="BL12" s="92">
        <f t="shared" si="0"/>
        <v>242638</v>
      </c>
      <c r="BM12" s="92">
        <f t="shared" si="0"/>
        <v>17258</v>
      </c>
      <c r="BN12" s="92">
        <f t="shared" si="0"/>
        <v>1220</v>
      </c>
      <c r="BO12" s="92">
        <f t="shared" ref="BO12:CW12" si="1">BO13-BO11-BO10-BO9-BO8-BO7-BO6</f>
        <v>218</v>
      </c>
      <c r="BP12" s="92">
        <f t="shared" si="1"/>
        <v>4050</v>
      </c>
      <c r="BQ12" s="92">
        <f t="shared" si="1"/>
        <v>790</v>
      </c>
      <c r="BR12" s="24">
        <f t="shared" si="1"/>
        <v>3987</v>
      </c>
      <c r="BS12" s="24">
        <f t="shared" si="1"/>
        <v>696.79000000000087</v>
      </c>
      <c r="BT12" s="24">
        <f t="shared" si="1"/>
        <v>65178</v>
      </c>
      <c r="BU12" s="24">
        <f t="shared" si="1"/>
        <v>7487.1299999999974</v>
      </c>
      <c r="BV12" s="92">
        <f t="shared" si="1"/>
        <v>115555</v>
      </c>
      <c r="BW12" s="92">
        <f t="shared" si="1"/>
        <v>9076.0599999999686</v>
      </c>
      <c r="BX12" s="92">
        <f t="shared" si="1"/>
        <v>371476</v>
      </c>
      <c r="BY12" s="92">
        <f t="shared" si="1"/>
        <v>9298.6699999999837</v>
      </c>
      <c r="BZ12" s="92">
        <f t="shared" si="1"/>
        <v>203</v>
      </c>
      <c r="CA12" s="92">
        <f t="shared" si="1"/>
        <v>13</v>
      </c>
      <c r="CB12" s="92">
        <f t="shared" si="1"/>
        <v>10060</v>
      </c>
      <c r="CC12" s="92">
        <f t="shared" si="1"/>
        <v>494</v>
      </c>
      <c r="CD12" s="92">
        <f t="shared" si="1"/>
        <v>6444</v>
      </c>
      <c r="CE12" s="92">
        <f t="shared" si="1"/>
        <v>762.19000000000028</v>
      </c>
      <c r="CF12" s="92">
        <f t="shared" si="1"/>
        <v>18595</v>
      </c>
      <c r="CG12" s="92">
        <f t="shared" si="1"/>
        <v>1942.7900000000018</v>
      </c>
      <c r="CH12" s="92">
        <f t="shared" si="1"/>
        <v>342674</v>
      </c>
      <c r="CI12" s="92">
        <f t="shared" si="1"/>
        <v>16654</v>
      </c>
      <c r="CJ12" s="92">
        <f t="shared" si="1"/>
        <v>580657</v>
      </c>
      <c r="CK12" s="92">
        <f t="shared" si="1"/>
        <v>27053</v>
      </c>
      <c r="CL12" s="92">
        <f>CL13-CL11-CL10-CL9-CL8-CL7-CL6</f>
        <v>0</v>
      </c>
      <c r="CM12" s="92">
        <f t="shared" si="1"/>
        <v>0</v>
      </c>
      <c r="CN12" s="92">
        <f t="shared" si="1"/>
        <v>0</v>
      </c>
      <c r="CO12" s="92">
        <f t="shared" si="1"/>
        <v>0</v>
      </c>
      <c r="CP12" s="92">
        <f t="shared" si="1"/>
        <v>-5333214</v>
      </c>
      <c r="CQ12" s="92">
        <f t="shared" si="1"/>
        <v>6669.8999999999778</v>
      </c>
      <c r="CR12" s="92">
        <f t="shared" si="1"/>
        <v>135813</v>
      </c>
      <c r="CS12" s="92">
        <f t="shared" si="1"/>
        <v>10879.940000000019</v>
      </c>
      <c r="CT12" s="92">
        <f t="shared" si="1"/>
        <v>450528</v>
      </c>
      <c r="CU12" s="92">
        <f t="shared" si="1"/>
        <v>14254.710996</v>
      </c>
      <c r="CV12" s="92">
        <f t="shared" si="1"/>
        <v>832494</v>
      </c>
      <c r="CW12" s="92">
        <f t="shared" si="1"/>
        <v>24312.019425000002</v>
      </c>
      <c r="CX12" s="76">
        <f t="shared" ref="CX12:DR12" si="2">CX13-CX11-CX10-CX9-CX8-CX7-CX6</f>
        <v>4344</v>
      </c>
      <c r="CY12" s="76">
        <f t="shared" si="2"/>
        <v>900</v>
      </c>
      <c r="CZ12" s="76">
        <f t="shared" si="2"/>
        <v>40032</v>
      </c>
      <c r="DA12" s="76">
        <f t="shared" si="2"/>
        <v>6958</v>
      </c>
      <c r="DB12" s="92">
        <f t="shared" si="2"/>
        <v>256696</v>
      </c>
      <c r="DC12" s="92">
        <f t="shared" si="2"/>
        <v>23668</v>
      </c>
      <c r="DD12" s="92">
        <f t="shared" si="2"/>
        <v>446873</v>
      </c>
      <c r="DE12" s="92">
        <f t="shared" si="2"/>
        <v>38898</v>
      </c>
      <c r="DF12" s="76">
        <f t="shared" si="2"/>
        <v>0</v>
      </c>
      <c r="DG12" s="76">
        <f t="shared" si="2"/>
        <v>-1</v>
      </c>
      <c r="DH12" s="76">
        <f t="shared" si="2"/>
        <v>0</v>
      </c>
      <c r="DI12" s="76">
        <f t="shared" si="2"/>
        <v>0</v>
      </c>
      <c r="DJ12" s="141">
        <f t="shared" si="2"/>
        <v>134897</v>
      </c>
      <c r="DK12" s="141">
        <f t="shared" si="2"/>
        <v>12023.219999999972</v>
      </c>
      <c r="DL12" s="141">
        <f t="shared" si="2"/>
        <v>-3756551</v>
      </c>
      <c r="DM12" s="141">
        <f t="shared" si="2"/>
        <v>21963.510000000038</v>
      </c>
      <c r="DN12" s="174">
        <f t="shared" si="2"/>
        <v>208643</v>
      </c>
      <c r="DO12" s="76">
        <f t="shared" si="2"/>
        <v>11701.690000000061</v>
      </c>
      <c r="DP12" s="76">
        <f t="shared" si="2"/>
        <v>412554</v>
      </c>
      <c r="DQ12" s="76">
        <f t="shared" si="2"/>
        <v>16718.649999999965</v>
      </c>
      <c r="DR12" s="76">
        <f t="shared" si="2"/>
        <v>27333</v>
      </c>
      <c r="DS12" s="76">
        <f t="shared" ref="DS12:DU12" si="3">DS13-DS11-DS10-DS9-DS8-DS7-DS6</f>
        <v>1650</v>
      </c>
      <c r="DT12" s="76">
        <f t="shared" si="3"/>
        <v>69386</v>
      </c>
      <c r="DU12" s="76">
        <f t="shared" si="3"/>
        <v>3695</v>
      </c>
    </row>
    <row r="13" spans="1:125" s="7" customFormat="1" x14ac:dyDescent="0.25">
      <c r="A13" s="10" t="s">
        <v>118</v>
      </c>
      <c r="B13" s="10">
        <v>926616</v>
      </c>
      <c r="C13" s="10">
        <v>24441</v>
      </c>
      <c r="D13" s="10">
        <v>1248236</v>
      </c>
      <c r="E13" s="10">
        <v>41466</v>
      </c>
      <c r="F13" s="10">
        <v>147588</v>
      </c>
      <c r="G13" s="10">
        <v>39615</v>
      </c>
      <c r="H13" s="10">
        <v>310054</v>
      </c>
      <c r="I13" s="10">
        <v>76367</v>
      </c>
      <c r="J13" s="10">
        <v>19204173</v>
      </c>
      <c r="K13" s="10">
        <v>775424</v>
      </c>
      <c r="L13" s="10">
        <v>19885956</v>
      </c>
      <c r="M13" s="10">
        <v>796124</v>
      </c>
      <c r="N13" s="10">
        <v>6120227</v>
      </c>
      <c r="O13" s="10">
        <v>501145</v>
      </c>
      <c r="P13" s="10">
        <v>10356295</v>
      </c>
      <c r="Q13" s="10">
        <v>748312</v>
      </c>
      <c r="R13" s="10">
        <v>357948</v>
      </c>
      <c r="S13" s="10">
        <v>93443</v>
      </c>
      <c r="T13" s="10">
        <v>303098</v>
      </c>
      <c r="U13" s="10">
        <v>65855</v>
      </c>
      <c r="V13" s="10">
        <v>2447573</v>
      </c>
      <c r="W13" s="10">
        <v>122168</v>
      </c>
      <c r="X13" s="10">
        <v>3887657</v>
      </c>
      <c r="Y13" s="10">
        <v>212217</v>
      </c>
      <c r="Z13" s="10">
        <v>861</v>
      </c>
      <c r="AA13" s="10">
        <v>12129.33</v>
      </c>
      <c r="AB13" s="10">
        <v>1412</v>
      </c>
      <c r="AC13" s="10">
        <v>21153.33</v>
      </c>
      <c r="AD13" s="92">
        <v>61436</v>
      </c>
      <c r="AE13" s="92">
        <v>9320.52</v>
      </c>
      <c r="AF13" s="92">
        <v>105909</v>
      </c>
      <c r="AG13" s="92">
        <v>15398.16</v>
      </c>
      <c r="AH13" s="10">
        <v>905535</v>
      </c>
      <c r="AI13" s="10">
        <v>111815.4</v>
      </c>
      <c r="AJ13" s="10">
        <v>1561604</v>
      </c>
      <c r="AK13" s="10">
        <v>181761.63</v>
      </c>
      <c r="AL13" s="10">
        <v>1927746</v>
      </c>
      <c r="AM13" s="10">
        <v>99201</v>
      </c>
      <c r="AN13" s="10">
        <v>3104806</v>
      </c>
      <c r="AO13" s="10">
        <v>178011</v>
      </c>
      <c r="AP13" s="10">
        <v>2313145</v>
      </c>
      <c r="AQ13" s="10">
        <v>413887</v>
      </c>
      <c r="AR13" s="10">
        <v>4176015</v>
      </c>
      <c r="AS13" s="10">
        <v>652518</v>
      </c>
      <c r="AT13" s="10">
        <v>6392624</v>
      </c>
      <c r="AU13" s="10">
        <v>442416</v>
      </c>
      <c r="AV13" s="10">
        <v>11584850</v>
      </c>
      <c r="AW13" s="10">
        <v>861263</v>
      </c>
      <c r="AX13" s="10">
        <v>2549011</v>
      </c>
      <c r="AY13" s="10">
        <v>253272.65</v>
      </c>
      <c r="AZ13" s="10">
        <v>4232073</v>
      </c>
      <c r="BA13" s="10">
        <v>436520.29</v>
      </c>
      <c r="BB13" s="10">
        <v>665690</v>
      </c>
      <c r="BC13" s="10">
        <v>15868.97</v>
      </c>
      <c r="BD13" s="10">
        <v>1106792</v>
      </c>
      <c r="BE13" s="10">
        <v>27767.43</v>
      </c>
      <c r="BF13" s="10">
        <v>773303</v>
      </c>
      <c r="BG13" s="10">
        <v>35261</v>
      </c>
      <c r="BH13" s="10">
        <v>1278347</v>
      </c>
      <c r="BI13" s="10">
        <v>68957</v>
      </c>
      <c r="BJ13" s="92">
        <v>399112</v>
      </c>
      <c r="BK13" s="10">
        <v>39336</v>
      </c>
      <c r="BL13" s="10">
        <v>674494</v>
      </c>
      <c r="BM13" s="10">
        <v>68973</v>
      </c>
      <c r="BN13" s="10">
        <v>85711</v>
      </c>
      <c r="BO13" s="10">
        <v>23043</v>
      </c>
      <c r="BP13" s="10">
        <v>162522</v>
      </c>
      <c r="BQ13" s="10">
        <v>44161</v>
      </c>
      <c r="BR13" s="10">
        <v>310071</v>
      </c>
      <c r="BS13" s="10">
        <v>66418.91</v>
      </c>
      <c r="BT13" s="125">
        <v>603151</v>
      </c>
      <c r="BU13" s="125">
        <v>124896.81</v>
      </c>
      <c r="BV13" s="10">
        <v>3379934</v>
      </c>
      <c r="BW13" s="10">
        <v>376919.97</v>
      </c>
      <c r="BX13" s="10">
        <v>6278566</v>
      </c>
      <c r="BY13" s="10">
        <v>686044.51</v>
      </c>
      <c r="BZ13" s="10">
        <v>90944</v>
      </c>
      <c r="CA13" s="10">
        <v>2889</v>
      </c>
      <c r="CB13" s="10">
        <v>119671</v>
      </c>
      <c r="CC13" s="10">
        <v>3660</v>
      </c>
      <c r="CD13" s="10">
        <v>50309</v>
      </c>
      <c r="CE13" s="10">
        <v>9869.82</v>
      </c>
      <c r="CF13" s="10">
        <v>102443</v>
      </c>
      <c r="CG13" s="10">
        <v>18594.650000000001</v>
      </c>
      <c r="CH13" s="10">
        <v>1736111</v>
      </c>
      <c r="CI13" s="10">
        <v>301806</v>
      </c>
      <c r="CJ13" s="10">
        <v>2919727</v>
      </c>
      <c r="CK13" s="10">
        <v>507252</v>
      </c>
      <c r="CL13" s="10">
        <v>573362</v>
      </c>
      <c r="CM13" s="10">
        <v>73347</v>
      </c>
      <c r="CN13" s="10">
        <v>957340</v>
      </c>
      <c r="CO13" s="10">
        <v>135279</v>
      </c>
      <c r="CP13" s="10">
        <v>602272</v>
      </c>
      <c r="CQ13" s="10">
        <v>296459</v>
      </c>
      <c r="CR13" s="10">
        <v>6839650</v>
      </c>
      <c r="CS13" s="10">
        <v>412895</v>
      </c>
      <c r="CT13" s="10">
        <v>1015169</v>
      </c>
      <c r="CU13" s="10">
        <v>43634.163280000001</v>
      </c>
      <c r="CV13" s="10">
        <v>1802425</v>
      </c>
      <c r="CW13" s="10">
        <v>78063.319950000005</v>
      </c>
      <c r="CX13" s="92">
        <v>1876814</v>
      </c>
      <c r="CY13" s="76">
        <v>288468</v>
      </c>
      <c r="CZ13" s="92">
        <v>3432847</v>
      </c>
      <c r="DA13" s="76">
        <v>506978</v>
      </c>
      <c r="DB13" s="10">
        <v>1932456</v>
      </c>
      <c r="DC13" s="10">
        <v>229255</v>
      </c>
      <c r="DD13" s="10">
        <v>3462379</v>
      </c>
      <c r="DE13" s="10">
        <v>436656</v>
      </c>
      <c r="DF13" s="10">
        <v>7862252</v>
      </c>
      <c r="DG13" s="10">
        <v>810416</v>
      </c>
      <c r="DH13" s="10"/>
      <c r="DI13" s="10"/>
      <c r="DJ13" s="140">
        <v>1909897</v>
      </c>
      <c r="DK13" s="140">
        <v>400082.79</v>
      </c>
      <c r="DL13" s="140">
        <v>3453697</v>
      </c>
      <c r="DM13" s="140">
        <v>712976.79</v>
      </c>
      <c r="DN13">
        <v>3392454</v>
      </c>
      <c r="DO13">
        <v>383795.32</v>
      </c>
      <c r="DP13">
        <v>6062128</v>
      </c>
      <c r="DQ13">
        <v>751745.95</v>
      </c>
      <c r="DR13" s="76">
        <v>512911</v>
      </c>
      <c r="DS13" s="76">
        <v>106945</v>
      </c>
      <c r="DT13" s="76">
        <v>843249</v>
      </c>
      <c r="DU13" s="76">
        <v>157002</v>
      </c>
    </row>
    <row r="14" spans="1:125" x14ac:dyDescent="0.25">
      <c r="A14" s="76" t="s">
        <v>119</v>
      </c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81"/>
      <c r="BS14" s="123"/>
      <c r="BT14" s="124"/>
      <c r="BU14" s="124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76"/>
      <c r="CY14" s="76"/>
      <c r="CZ14" s="76"/>
      <c r="DA14" s="76"/>
      <c r="DB14" s="92"/>
      <c r="DC14" s="92"/>
      <c r="DD14" s="92"/>
      <c r="DE14" s="92"/>
      <c r="DF14" s="76"/>
      <c r="DG14" s="76"/>
      <c r="DH14" s="76"/>
      <c r="DI14" s="76"/>
      <c r="DJ14" s="141"/>
      <c r="DK14" s="141"/>
      <c r="DL14" s="141"/>
      <c r="DM14" s="141"/>
      <c r="DN14" s="174"/>
      <c r="DO14" s="76"/>
      <c r="DP14" s="76"/>
      <c r="DQ14" s="76"/>
      <c r="DR14" s="76"/>
      <c r="DS14" s="76"/>
      <c r="DT14" s="76"/>
      <c r="DU14" s="76"/>
    </row>
    <row r="15" spans="1:125" s="7" customFormat="1" x14ac:dyDescent="0.25">
      <c r="A15" s="10" t="s">
        <v>120</v>
      </c>
      <c r="B15" s="10">
        <f>B13+B14</f>
        <v>926616</v>
      </c>
      <c r="C15" s="10">
        <f t="shared" ref="C15:BN15" si="4">C13+C14</f>
        <v>24441</v>
      </c>
      <c r="D15" s="10">
        <f t="shared" si="4"/>
        <v>1248236</v>
      </c>
      <c r="E15" s="10">
        <f t="shared" si="4"/>
        <v>41466</v>
      </c>
      <c r="F15" s="10">
        <f t="shared" si="4"/>
        <v>147588</v>
      </c>
      <c r="G15" s="10">
        <f t="shared" si="4"/>
        <v>39615</v>
      </c>
      <c r="H15" s="10">
        <f t="shared" si="4"/>
        <v>310054</v>
      </c>
      <c r="I15" s="10">
        <f t="shared" si="4"/>
        <v>76367</v>
      </c>
      <c r="J15" s="10">
        <f t="shared" si="4"/>
        <v>19204173</v>
      </c>
      <c r="K15" s="10">
        <f t="shared" si="4"/>
        <v>775424</v>
      </c>
      <c r="L15" s="10">
        <f t="shared" si="4"/>
        <v>19885956</v>
      </c>
      <c r="M15" s="10">
        <f t="shared" si="4"/>
        <v>796124</v>
      </c>
      <c r="N15" s="10">
        <f t="shared" si="4"/>
        <v>6120227</v>
      </c>
      <c r="O15" s="10">
        <f t="shared" si="4"/>
        <v>501145</v>
      </c>
      <c r="P15" s="10">
        <f t="shared" si="4"/>
        <v>10356295</v>
      </c>
      <c r="Q15" s="10">
        <f t="shared" si="4"/>
        <v>748312</v>
      </c>
      <c r="R15" s="10">
        <f t="shared" si="4"/>
        <v>357948</v>
      </c>
      <c r="S15" s="10">
        <f t="shared" si="4"/>
        <v>93443</v>
      </c>
      <c r="T15" s="10">
        <f t="shared" si="4"/>
        <v>303098</v>
      </c>
      <c r="U15" s="10">
        <f t="shared" si="4"/>
        <v>65855</v>
      </c>
      <c r="V15" s="10">
        <f t="shared" si="4"/>
        <v>2447573</v>
      </c>
      <c r="W15" s="10">
        <f t="shared" si="4"/>
        <v>122168</v>
      </c>
      <c r="X15" s="10">
        <f t="shared" si="4"/>
        <v>3887657</v>
      </c>
      <c r="Y15" s="10">
        <f t="shared" si="4"/>
        <v>212217</v>
      </c>
      <c r="Z15" s="10">
        <f t="shared" si="4"/>
        <v>861</v>
      </c>
      <c r="AA15" s="10">
        <f t="shared" si="4"/>
        <v>12129.33</v>
      </c>
      <c r="AB15" s="10">
        <f t="shared" si="4"/>
        <v>1412</v>
      </c>
      <c r="AC15" s="10">
        <f t="shared" si="4"/>
        <v>21153.33</v>
      </c>
      <c r="AD15" s="10">
        <f t="shared" si="4"/>
        <v>61436</v>
      </c>
      <c r="AE15" s="10">
        <f t="shared" si="4"/>
        <v>9320.52</v>
      </c>
      <c r="AF15" s="10">
        <f t="shared" si="4"/>
        <v>105909</v>
      </c>
      <c r="AG15" s="10">
        <f t="shared" si="4"/>
        <v>15398.16</v>
      </c>
      <c r="AH15" s="10">
        <f t="shared" si="4"/>
        <v>905535</v>
      </c>
      <c r="AI15" s="10">
        <f t="shared" si="4"/>
        <v>111815.4</v>
      </c>
      <c r="AJ15" s="10">
        <f t="shared" si="4"/>
        <v>1561604</v>
      </c>
      <c r="AK15" s="10">
        <f t="shared" si="4"/>
        <v>181761.63</v>
      </c>
      <c r="AL15" s="10">
        <f t="shared" si="4"/>
        <v>1927746</v>
      </c>
      <c r="AM15" s="10">
        <f t="shared" si="4"/>
        <v>99201</v>
      </c>
      <c r="AN15" s="10">
        <f t="shared" si="4"/>
        <v>3104806</v>
      </c>
      <c r="AO15" s="10">
        <f t="shared" si="4"/>
        <v>178011</v>
      </c>
      <c r="AP15" s="10">
        <f t="shared" si="4"/>
        <v>2313145</v>
      </c>
      <c r="AQ15" s="10">
        <f t="shared" si="4"/>
        <v>413887</v>
      </c>
      <c r="AR15" s="10">
        <f t="shared" si="4"/>
        <v>4176015</v>
      </c>
      <c r="AS15" s="10">
        <f t="shared" si="4"/>
        <v>652518</v>
      </c>
      <c r="AT15" s="10">
        <f t="shared" si="4"/>
        <v>6392624</v>
      </c>
      <c r="AU15" s="10">
        <f t="shared" si="4"/>
        <v>442416</v>
      </c>
      <c r="AV15" s="10">
        <f t="shared" si="4"/>
        <v>11584850</v>
      </c>
      <c r="AW15" s="10">
        <f t="shared" si="4"/>
        <v>861263</v>
      </c>
      <c r="AX15" s="10">
        <f t="shared" si="4"/>
        <v>2549011</v>
      </c>
      <c r="AY15" s="10">
        <f t="shared" si="4"/>
        <v>253272.65</v>
      </c>
      <c r="AZ15" s="10">
        <f t="shared" si="4"/>
        <v>4232073</v>
      </c>
      <c r="BA15" s="10">
        <f t="shared" si="4"/>
        <v>436520.29</v>
      </c>
      <c r="BB15" s="10">
        <f t="shared" si="4"/>
        <v>665690</v>
      </c>
      <c r="BC15" s="10">
        <f t="shared" si="4"/>
        <v>15868.97</v>
      </c>
      <c r="BD15" s="10">
        <f t="shared" si="4"/>
        <v>1106792</v>
      </c>
      <c r="BE15" s="10">
        <f t="shared" si="4"/>
        <v>27767.43</v>
      </c>
      <c r="BF15" s="10">
        <f t="shared" si="4"/>
        <v>773303</v>
      </c>
      <c r="BG15" s="10">
        <f t="shared" si="4"/>
        <v>35261</v>
      </c>
      <c r="BH15" s="10">
        <f t="shared" si="4"/>
        <v>1278347</v>
      </c>
      <c r="BI15" s="10">
        <f t="shared" si="4"/>
        <v>68957</v>
      </c>
      <c r="BJ15" s="10">
        <f t="shared" si="4"/>
        <v>399112</v>
      </c>
      <c r="BK15" s="10">
        <f t="shared" si="4"/>
        <v>39336</v>
      </c>
      <c r="BL15" s="10">
        <f t="shared" si="4"/>
        <v>674494</v>
      </c>
      <c r="BM15" s="10">
        <f t="shared" si="4"/>
        <v>68973</v>
      </c>
      <c r="BN15" s="10">
        <f t="shared" si="4"/>
        <v>85711</v>
      </c>
      <c r="BO15" s="10">
        <f t="shared" ref="BO15:CW15" si="5">BO13+BO14</f>
        <v>23043</v>
      </c>
      <c r="BP15" s="10">
        <f t="shared" si="5"/>
        <v>162522</v>
      </c>
      <c r="BQ15" s="10">
        <f t="shared" si="5"/>
        <v>44161</v>
      </c>
      <c r="BR15" s="10">
        <f t="shared" si="5"/>
        <v>310071</v>
      </c>
      <c r="BS15" s="10">
        <f t="shared" si="5"/>
        <v>66418.91</v>
      </c>
      <c r="BT15" s="10">
        <f t="shared" si="5"/>
        <v>603151</v>
      </c>
      <c r="BU15" s="10">
        <f t="shared" si="5"/>
        <v>124896.81</v>
      </c>
      <c r="BV15" s="10">
        <f t="shared" si="5"/>
        <v>3379934</v>
      </c>
      <c r="BW15" s="10">
        <f t="shared" si="5"/>
        <v>376919.97</v>
      </c>
      <c r="BX15" s="10">
        <f t="shared" si="5"/>
        <v>6278566</v>
      </c>
      <c r="BY15" s="10">
        <f t="shared" si="5"/>
        <v>686044.51</v>
      </c>
      <c r="BZ15" s="10">
        <f t="shared" si="5"/>
        <v>90944</v>
      </c>
      <c r="CA15" s="10">
        <f t="shared" si="5"/>
        <v>2889</v>
      </c>
      <c r="CB15" s="10">
        <f t="shared" si="5"/>
        <v>119671</v>
      </c>
      <c r="CC15" s="10">
        <f t="shared" si="5"/>
        <v>3660</v>
      </c>
      <c r="CD15" s="10">
        <f t="shared" si="5"/>
        <v>50309</v>
      </c>
      <c r="CE15" s="10">
        <f t="shared" si="5"/>
        <v>9869.82</v>
      </c>
      <c r="CF15" s="10">
        <f t="shared" si="5"/>
        <v>102443</v>
      </c>
      <c r="CG15" s="10">
        <f t="shared" si="5"/>
        <v>18594.650000000001</v>
      </c>
      <c r="CH15" s="10">
        <f t="shared" si="5"/>
        <v>1736111</v>
      </c>
      <c r="CI15" s="10">
        <f t="shared" si="5"/>
        <v>301806</v>
      </c>
      <c r="CJ15" s="10">
        <f t="shared" si="5"/>
        <v>2919727</v>
      </c>
      <c r="CK15" s="10">
        <f t="shared" si="5"/>
        <v>507252</v>
      </c>
      <c r="CL15" s="10">
        <f>CL13+CL14</f>
        <v>573362</v>
      </c>
      <c r="CM15" s="10">
        <f t="shared" si="5"/>
        <v>73347</v>
      </c>
      <c r="CN15" s="10">
        <f t="shared" si="5"/>
        <v>957340</v>
      </c>
      <c r="CO15" s="10">
        <f t="shared" si="5"/>
        <v>135279</v>
      </c>
      <c r="CP15" s="10">
        <f t="shared" si="5"/>
        <v>602272</v>
      </c>
      <c r="CQ15" s="10">
        <f t="shared" si="5"/>
        <v>296459</v>
      </c>
      <c r="CR15" s="10">
        <f t="shared" si="5"/>
        <v>6839650</v>
      </c>
      <c r="CS15" s="10">
        <f t="shared" si="5"/>
        <v>412895</v>
      </c>
      <c r="CT15" s="10">
        <f t="shared" si="5"/>
        <v>1015169</v>
      </c>
      <c r="CU15" s="10">
        <f t="shared" si="5"/>
        <v>43634.163280000001</v>
      </c>
      <c r="CV15" s="10">
        <f t="shared" si="5"/>
        <v>1802425</v>
      </c>
      <c r="CW15" s="10">
        <f t="shared" si="5"/>
        <v>78063.319950000005</v>
      </c>
      <c r="CX15" s="10">
        <f t="shared" ref="CX15:DR15" si="6">CX13+CX14</f>
        <v>1876814</v>
      </c>
      <c r="CY15" s="10">
        <f t="shared" si="6"/>
        <v>288468</v>
      </c>
      <c r="CZ15" s="10">
        <f t="shared" si="6"/>
        <v>3432847</v>
      </c>
      <c r="DA15" s="10">
        <f t="shared" si="6"/>
        <v>506978</v>
      </c>
      <c r="DB15" s="10">
        <f t="shared" si="6"/>
        <v>1932456</v>
      </c>
      <c r="DC15" s="10">
        <f t="shared" si="6"/>
        <v>229255</v>
      </c>
      <c r="DD15" s="10">
        <f t="shared" si="6"/>
        <v>3462379</v>
      </c>
      <c r="DE15" s="10">
        <f t="shared" si="6"/>
        <v>436656</v>
      </c>
      <c r="DF15" s="10">
        <f t="shared" si="6"/>
        <v>7862252</v>
      </c>
      <c r="DG15" s="10">
        <f t="shared" si="6"/>
        <v>810416</v>
      </c>
      <c r="DH15" s="10">
        <f t="shared" si="6"/>
        <v>0</v>
      </c>
      <c r="DI15" s="10">
        <f t="shared" si="6"/>
        <v>0</v>
      </c>
      <c r="DJ15" s="176">
        <f t="shared" si="6"/>
        <v>1909897</v>
      </c>
      <c r="DK15" s="176">
        <f t="shared" si="6"/>
        <v>400082.79</v>
      </c>
      <c r="DL15" s="176">
        <f t="shared" si="6"/>
        <v>3453697</v>
      </c>
      <c r="DM15" s="176">
        <f t="shared" si="6"/>
        <v>712976.79</v>
      </c>
      <c r="DN15" s="175">
        <f t="shared" si="6"/>
        <v>3392454</v>
      </c>
      <c r="DO15" s="10">
        <f t="shared" si="6"/>
        <v>383795.32</v>
      </c>
      <c r="DP15" s="10">
        <f t="shared" si="6"/>
        <v>6062128</v>
      </c>
      <c r="DQ15" s="10">
        <f t="shared" si="6"/>
        <v>751745.95</v>
      </c>
      <c r="DR15" s="10">
        <f t="shared" si="6"/>
        <v>512911</v>
      </c>
      <c r="DS15" s="10">
        <f t="shared" ref="DS15:DU15" si="7">DS13+DS14</f>
        <v>106945</v>
      </c>
      <c r="DT15" s="10">
        <f t="shared" si="7"/>
        <v>843249</v>
      </c>
      <c r="DU15" s="10">
        <f t="shared" si="7"/>
        <v>157002</v>
      </c>
    </row>
    <row r="16" spans="1:125" x14ac:dyDescent="0.25">
      <c r="BR16" s="22"/>
      <c r="BS16" s="22"/>
      <c r="BT16" s="22"/>
      <c r="BU16" s="22"/>
    </row>
    <row r="17" spans="12:73" x14ac:dyDescent="0.25">
      <c r="BR17" s="22"/>
      <c r="BS17" s="22"/>
      <c r="BT17" s="22"/>
      <c r="BU17" s="22"/>
    </row>
    <row r="18" spans="12:73" x14ac:dyDescent="0.25">
      <c r="L18" s="71"/>
      <c r="AP18" s="71"/>
    </row>
    <row r="19" spans="12:73" x14ac:dyDescent="0.25">
      <c r="L19" s="71"/>
      <c r="AM19" s="71"/>
      <c r="AY19" s="71"/>
    </row>
    <row r="20" spans="12:73" x14ac:dyDescent="0.25">
      <c r="AM20" s="71"/>
    </row>
    <row r="21" spans="12:73" x14ac:dyDescent="0.25">
      <c r="AP21" s="71"/>
    </row>
  </sheetData>
  <mergeCells count="93">
    <mergeCell ref="BZ4:CA4"/>
    <mergeCell ref="CB4:CC4"/>
    <mergeCell ref="CD4:CE4"/>
    <mergeCell ref="CF4:CG4"/>
    <mergeCell ref="CH4:CI4"/>
    <mergeCell ref="CJ4:CK4"/>
    <mergeCell ref="CP4:CQ4"/>
    <mergeCell ref="CR4:CS4"/>
    <mergeCell ref="CT4:CU4"/>
    <mergeCell ref="CV4:CW4"/>
    <mergeCell ref="BV4:BW4"/>
    <mergeCell ref="BX4:BY4"/>
    <mergeCell ref="BF4:BG4"/>
    <mergeCell ref="BH4:BI4"/>
    <mergeCell ref="BJ4:BK4"/>
    <mergeCell ref="BL4:BM4"/>
    <mergeCell ref="BN4:BO4"/>
    <mergeCell ref="BR4:BS4"/>
    <mergeCell ref="BT4:BU4"/>
    <mergeCell ref="N4:O4"/>
    <mergeCell ref="P4:Q4"/>
    <mergeCell ref="B4:C4"/>
    <mergeCell ref="D4:E4"/>
    <mergeCell ref="F4:G4"/>
    <mergeCell ref="H4:I4"/>
    <mergeCell ref="J4:K4"/>
    <mergeCell ref="DB4:DC4"/>
    <mergeCell ref="DR3:DU3"/>
    <mergeCell ref="DT4:DU4"/>
    <mergeCell ref="DR4:DS4"/>
    <mergeCell ref="DL4:DM4"/>
    <mergeCell ref="DN4:DO4"/>
    <mergeCell ref="DP4:DQ4"/>
    <mergeCell ref="DD4:DE4"/>
    <mergeCell ref="DF3:DI3"/>
    <mergeCell ref="DJ3:DM3"/>
    <mergeCell ref="DN3:DQ3"/>
    <mergeCell ref="DJ4:DK4"/>
    <mergeCell ref="DF4:DG4"/>
    <mergeCell ref="DH4:DI4"/>
    <mergeCell ref="DB3:DE3"/>
    <mergeCell ref="B3:E3"/>
    <mergeCell ref="F3:I3"/>
    <mergeCell ref="J3:M3"/>
    <mergeCell ref="N3:Q3"/>
    <mergeCell ref="CZ4:DA4"/>
    <mergeCell ref="R4:S4"/>
    <mergeCell ref="AP4:AQ4"/>
    <mergeCell ref="AR4:AS4"/>
    <mergeCell ref="CL3:CO3"/>
    <mergeCell ref="CL4:CM4"/>
    <mergeCell ref="CN4:CO4"/>
    <mergeCell ref="CP3:CS3"/>
    <mergeCell ref="CT3:CW3"/>
    <mergeCell ref="CX3:DA3"/>
    <mergeCell ref="CX4:CY4"/>
    <mergeCell ref="L4:M4"/>
    <mergeCell ref="R3:U3"/>
    <mergeCell ref="T4:U4"/>
    <mergeCell ref="AL3:AO3"/>
    <mergeCell ref="AF4:AG4"/>
    <mergeCell ref="AH4:AI4"/>
    <mergeCell ref="AJ4:AK4"/>
    <mergeCell ref="AL4:AM4"/>
    <mergeCell ref="AN4:AO4"/>
    <mergeCell ref="V4:W4"/>
    <mergeCell ref="X4:Y4"/>
    <mergeCell ref="Z4:AA4"/>
    <mergeCell ref="V3:Y3"/>
    <mergeCell ref="AB4:AC4"/>
    <mergeCell ref="AD4:AE4"/>
    <mergeCell ref="Z3:AC3"/>
    <mergeCell ref="AD3:AG3"/>
    <mergeCell ref="BV3:BY3"/>
    <mergeCell ref="BZ3:CC3"/>
    <mergeCell ref="CD3:CG3"/>
    <mergeCell ref="CH3:CK3"/>
    <mergeCell ref="BR3:BU3"/>
    <mergeCell ref="AH3:AK3"/>
    <mergeCell ref="AP3:AS3"/>
    <mergeCell ref="AT3:AW3"/>
    <mergeCell ref="AX3:BA3"/>
    <mergeCell ref="BB3:BE3"/>
    <mergeCell ref="BF3:BI3"/>
    <mergeCell ref="BJ3:BM3"/>
    <mergeCell ref="BN3:BQ3"/>
    <mergeCell ref="AT4:AU4"/>
    <mergeCell ref="AV4:AW4"/>
    <mergeCell ref="AX4:AY4"/>
    <mergeCell ref="BP4:BQ4"/>
    <mergeCell ref="AZ4:BA4"/>
    <mergeCell ref="BB4:BC4"/>
    <mergeCell ref="BD4:B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3.140625" style="6" customWidth="1"/>
    <col min="2" max="63" width="16" style="6" customWidth="1"/>
    <col min="64" max="65" width="16" style="32" customWidth="1"/>
    <col min="66" max="16384" width="9.140625" style="6"/>
  </cols>
  <sheetData>
    <row r="1" spans="1:65" ht="18.75" x14ac:dyDescent="0.3">
      <c r="A1" s="12" t="s">
        <v>232</v>
      </c>
    </row>
    <row r="2" spans="1:65" x14ac:dyDescent="0.25">
      <c r="A2" s="5" t="s">
        <v>98</v>
      </c>
    </row>
    <row r="3" spans="1:65" x14ac:dyDescent="0.25">
      <c r="A3" s="3" t="s">
        <v>0</v>
      </c>
      <c r="B3" s="147" t="s">
        <v>1</v>
      </c>
      <c r="C3" s="148"/>
      <c r="D3" s="147" t="s">
        <v>233</v>
      </c>
      <c r="E3" s="148"/>
      <c r="F3" s="147" t="s">
        <v>2</v>
      </c>
      <c r="G3" s="148"/>
      <c r="H3" s="147" t="s">
        <v>3</v>
      </c>
      <c r="I3" s="148"/>
      <c r="J3" s="147" t="s">
        <v>242</v>
      </c>
      <c r="K3" s="148"/>
      <c r="L3" s="147" t="s">
        <v>234</v>
      </c>
      <c r="M3" s="148"/>
      <c r="N3" s="147" t="s">
        <v>254</v>
      </c>
      <c r="O3" s="148"/>
      <c r="P3" s="147" t="s">
        <v>5</v>
      </c>
      <c r="Q3" s="148"/>
      <c r="R3" s="147" t="s">
        <v>4</v>
      </c>
      <c r="S3" s="148"/>
      <c r="T3" s="147" t="s">
        <v>6</v>
      </c>
      <c r="U3" s="148"/>
      <c r="V3" s="147" t="s">
        <v>7</v>
      </c>
      <c r="W3" s="148"/>
      <c r="X3" s="147" t="s">
        <v>8</v>
      </c>
      <c r="Y3" s="148"/>
      <c r="Z3" s="147" t="s">
        <v>9</v>
      </c>
      <c r="AA3" s="148"/>
      <c r="AB3" s="147" t="s">
        <v>241</v>
      </c>
      <c r="AC3" s="148"/>
      <c r="AD3" s="147" t="s">
        <v>10</v>
      </c>
      <c r="AE3" s="148"/>
      <c r="AF3" s="147" t="s">
        <v>11</v>
      </c>
      <c r="AG3" s="148"/>
      <c r="AH3" s="147" t="s">
        <v>235</v>
      </c>
      <c r="AI3" s="148"/>
      <c r="AJ3" s="147" t="s">
        <v>253</v>
      </c>
      <c r="AK3" s="148"/>
      <c r="AL3" s="147" t="s">
        <v>12</v>
      </c>
      <c r="AM3" s="148"/>
      <c r="AN3" s="147" t="s">
        <v>236</v>
      </c>
      <c r="AO3" s="148"/>
      <c r="AP3" s="147" t="s">
        <v>237</v>
      </c>
      <c r="AQ3" s="148"/>
      <c r="AR3" s="147" t="s">
        <v>240</v>
      </c>
      <c r="AS3" s="148"/>
      <c r="AT3" s="147" t="s">
        <v>13</v>
      </c>
      <c r="AU3" s="148"/>
      <c r="AV3" s="147" t="s">
        <v>14</v>
      </c>
      <c r="AW3" s="148"/>
      <c r="AX3" s="147" t="s">
        <v>15</v>
      </c>
      <c r="AY3" s="148"/>
      <c r="AZ3" s="147" t="s">
        <v>16</v>
      </c>
      <c r="BA3" s="148"/>
      <c r="BB3" s="147" t="s">
        <v>17</v>
      </c>
      <c r="BC3" s="148"/>
      <c r="BD3" s="147" t="s">
        <v>238</v>
      </c>
      <c r="BE3" s="148"/>
      <c r="BF3" s="147" t="s">
        <v>239</v>
      </c>
      <c r="BG3" s="148"/>
      <c r="BH3" s="147" t="s">
        <v>18</v>
      </c>
      <c r="BI3" s="148"/>
      <c r="BJ3" s="147" t="s">
        <v>19</v>
      </c>
      <c r="BK3" s="148"/>
      <c r="BL3" s="149" t="s">
        <v>20</v>
      </c>
      <c r="BM3" s="150"/>
    </row>
    <row r="4" spans="1:65" ht="30" x14ac:dyDescent="0.25">
      <c r="A4" s="3"/>
      <c r="B4" s="53" t="s">
        <v>243</v>
      </c>
      <c r="C4" s="54" t="s">
        <v>244</v>
      </c>
      <c r="D4" s="53" t="s">
        <v>243</v>
      </c>
      <c r="E4" s="54" t="s">
        <v>244</v>
      </c>
      <c r="F4" s="53" t="s">
        <v>243</v>
      </c>
      <c r="G4" s="54" t="s">
        <v>244</v>
      </c>
      <c r="H4" s="53" t="s">
        <v>243</v>
      </c>
      <c r="I4" s="54" t="s">
        <v>244</v>
      </c>
      <c r="J4" s="53" t="s">
        <v>243</v>
      </c>
      <c r="K4" s="54" t="s">
        <v>244</v>
      </c>
      <c r="L4" s="53" t="s">
        <v>243</v>
      </c>
      <c r="M4" s="54" t="s">
        <v>244</v>
      </c>
      <c r="N4" s="53" t="s">
        <v>243</v>
      </c>
      <c r="O4" s="54" t="s">
        <v>244</v>
      </c>
      <c r="P4" s="53" t="s">
        <v>243</v>
      </c>
      <c r="Q4" s="54" t="s">
        <v>244</v>
      </c>
      <c r="R4" s="53" t="s">
        <v>243</v>
      </c>
      <c r="S4" s="54" t="s">
        <v>244</v>
      </c>
      <c r="T4" s="53" t="s">
        <v>243</v>
      </c>
      <c r="U4" s="54" t="s">
        <v>244</v>
      </c>
      <c r="V4" s="53" t="s">
        <v>243</v>
      </c>
      <c r="W4" s="54" t="s">
        <v>244</v>
      </c>
      <c r="X4" s="53" t="s">
        <v>243</v>
      </c>
      <c r="Y4" s="54" t="s">
        <v>244</v>
      </c>
      <c r="Z4" s="53" t="s">
        <v>243</v>
      </c>
      <c r="AA4" s="54" t="s">
        <v>244</v>
      </c>
      <c r="AB4" s="53" t="s">
        <v>243</v>
      </c>
      <c r="AC4" s="54" t="s">
        <v>244</v>
      </c>
      <c r="AD4" s="53" t="s">
        <v>243</v>
      </c>
      <c r="AE4" s="54" t="s">
        <v>244</v>
      </c>
      <c r="AF4" s="53" t="s">
        <v>243</v>
      </c>
      <c r="AG4" s="54" t="s">
        <v>244</v>
      </c>
      <c r="AH4" s="53" t="s">
        <v>243</v>
      </c>
      <c r="AI4" s="54" t="s">
        <v>244</v>
      </c>
      <c r="AJ4" s="53" t="s">
        <v>243</v>
      </c>
      <c r="AK4" s="54" t="s">
        <v>244</v>
      </c>
      <c r="AL4" s="53" t="s">
        <v>243</v>
      </c>
      <c r="AM4" s="54" t="s">
        <v>244</v>
      </c>
      <c r="AN4" s="53" t="s">
        <v>243</v>
      </c>
      <c r="AO4" s="54" t="s">
        <v>244</v>
      </c>
      <c r="AP4" s="53" t="s">
        <v>243</v>
      </c>
      <c r="AQ4" s="54" t="s">
        <v>244</v>
      </c>
      <c r="AR4" s="53" t="s">
        <v>243</v>
      </c>
      <c r="AS4" s="54" t="s">
        <v>244</v>
      </c>
      <c r="AT4" s="53" t="s">
        <v>243</v>
      </c>
      <c r="AU4" s="54" t="s">
        <v>244</v>
      </c>
      <c r="AV4" s="53" t="s">
        <v>243</v>
      </c>
      <c r="AW4" s="54" t="s">
        <v>244</v>
      </c>
      <c r="AX4" s="53" t="s">
        <v>243</v>
      </c>
      <c r="AY4" s="54" t="s">
        <v>244</v>
      </c>
      <c r="AZ4" s="53" t="s">
        <v>243</v>
      </c>
      <c r="BA4" s="54" t="s">
        <v>244</v>
      </c>
      <c r="BB4" s="53" t="s">
        <v>243</v>
      </c>
      <c r="BC4" s="54" t="s">
        <v>244</v>
      </c>
      <c r="BD4" s="53" t="s">
        <v>243</v>
      </c>
      <c r="BE4" s="54" t="s">
        <v>244</v>
      </c>
      <c r="BF4" s="53" t="s">
        <v>243</v>
      </c>
      <c r="BG4" s="54" t="s">
        <v>244</v>
      </c>
      <c r="BH4" s="53" t="s">
        <v>243</v>
      </c>
      <c r="BI4" s="54" t="s">
        <v>244</v>
      </c>
      <c r="BJ4" s="53" t="s">
        <v>243</v>
      </c>
      <c r="BK4" s="54" t="s">
        <v>244</v>
      </c>
      <c r="BL4" s="53" t="s">
        <v>243</v>
      </c>
      <c r="BM4" s="54" t="s">
        <v>244</v>
      </c>
    </row>
    <row r="5" spans="1:65" x14ac:dyDescent="0.25">
      <c r="A5" s="3" t="s">
        <v>214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66"/>
      <c r="BM5" s="66"/>
    </row>
    <row r="6" spans="1:65" x14ac:dyDescent="0.25">
      <c r="A6" s="2" t="s">
        <v>215</v>
      </c>
      <c r="B6" s="92">
        <v>-1</v>
      </c>
      <c r="C6" s="92">
        <v>-1</v>
      </c>
      <c r="D6" s="9"/>
      <c r="E6" s="9"/>
      <c r="F6" s="9"/>
      <c r="G6" s="9"/>
      <c r="H6" s="92">
        <v>1576</v>
      </c>
      <c r="I6" s="92">
        <v>7413</v>
      </c>
      <c r="J6" s="76"/>
      <c r="K6" s="76"/>
      <c r="L6" s="92">
        <v>456</v>
      </c>
      <c r="M6" s="92">
        <v>1434</v>
      </c>
      <c r="N6" s="92">
        <v>-1419</v>
      </c>
      <c r="O6" s="92">
        <v>-3303</v>
      </c>
      <c r="P6" s="92"/>
      <c r="Q6" s="92"/>
      <c r="R6" s="92">
        <v>-50.5</v>
      </c>
      <c r="S6" s="92">
        <v>-56.83</v>
      </c>
      <c r="T6" s="92">
        <v>303.37</v>
      </c>
      <c r="U6" s="92">
        <v>-1047.8</v>
      </c>
      <c r="V6" s="92">
        <v>1501</v>
      </c>
      <c r="W6" s="92">
        <v>258</v>
      </c>
      <c r="X6" s="92">
        <v>5980</v>
      </c>
      <c r="Y6" s="92">
        <v>12046</v>
      </c>
      <c r="Z6" s="92">
        <v>1629</v>
      </c>
      <c r="AA6" s="92">
        <v>2849</v>
      </c>
      <c r="AB6" s="92">
        <v>-66.86</v>
      </c>
      <c r="AC6" s="92">
        <v>278.47000000000003</v>
      </c>
      <c r="AD6" s="92">
        <v>133.35</v>
      </c>
      <c r="AE6" s="92">
        <v>522.83000000000004</v>
      </c>
      <c r="AF6" s="92">
        <v>-533.57000000000005</v>
      </c>
      <c r="AG6" s="92">
        <v>-1862.21</v>
      </c>
      <c r="AH6" s="9"/>
      <c r="AI6" s="9"/>
      <c r="AJ6" s="76"/>
      <c r="AK6" s="76"/>
      <c r="AL6" s="92">
        <v>7264.09</v>
      </c>
      <c r="AM6" s="92">
        <v>-251.67</v>
      </c>
      <c r="AN6" s="92">
        <v>-181</v>
      </c>
      <c r="AO6" s="92">
        <v>485</v>
      </c>
      <c r="AP6" s="92">
        <v>-195</v>
      </c>
      <c r="AQ6" s="92">
        <v>-413</v>
      </c>
      <c r="AR6" s="9">
        <v>4703</v>
      </c>
      <c r="AS6" s="9">
        <v>6296</v>
      </c>
      <c r="AT6" s="92">
        <v>139234</v>
      </c>
      <c r="AU6" s="92">
        <v>263237</v>
      </c>
      <c r="AV6" s="92">
        <v>14640</v>
      </c>
      <c r="AW6" s="92">
        <v>15398</v>
      </c>
      <c r="AX6" s="92">
        <v>512</v>
      </c>
      <c r="AY6" s="92">
        <v>1265</v>
      </c>
      <c r="AZ6" s="9"/>
      <c r="BA6" s="9"/>
      <c r="BB6" s="92">
        <v>-5479</v>
      </c>
      <c r="BC6" s="92">
        <v>-4434</v>
      </c>
      <c r="BD6" s="92">
        <v>-16984.900000000001</v>
      </c>
      <c r="BE6" s="92">
        <v>6780.81</v>
      </c>
      <c r="BF6" s="92">
        <v>-4468</v>
      </c>
      <c r="BG6" s="92">
        <v>3403</v>
      </c>
      <c r="BH6" s="92">
        <v>7624</v>
      </c>
      <c r="BI6" s="92">
        <v>-9215</v>
      </c>
      <c r="BJ6" s="92">
        <v>469</v>
      </c>
      <c r="BK6" s="92">
        <v>1415</v>
      </c>
      <c r="BL6" s="67">
        <f>B6+D6+F6+H6+J6+L6+N6+P6+R6+T6+V6+X6+Z6+AB6+AD6+AF6+AH6+AJ6+AL6+AN6+AP6+AR6+AT6+AV6+AX6+AZ6+BB6+BD6+BF6+BH6+BJ6</f>
        <v>156645.98000000001</v>
      </c>
      <c r="BM6" s="67">
        <f>C6+E6+G6+I6+K6+M6+O6+Q6+S6+U6+W6+Y6+AA6+AC6+AE6+AG6+AI6+AK6+AM6+AO6+AQ6+AS6+AU6+AW6+AY6+BA6+BC6+BE6+BG6+BI6+BK6</f>
        <v>302496.59999999998</v>
      </c>
    </row>
    <row r="7" spans="1:65" x14ac:dyDescent="0.25">
      <c r="A7" s="2" t="s">
        <v>216</v>
      </c>
      <c r="B7" s="92"/>
      <c r="C7" s="92"/>
      <c r="D7" s="9"/>
      <c r="E7" s="9"/>
      <c r="F7" s="9"/>
      <c r="G7" s="9"/>
      <c r="H7" s="92">
        <v>794</v>
      </c>
      <c r="I7" s="92">
        <v>712</v>
      </c>
      <c r="J7" s="76"/>
      <c r="K7" s="76"/>
      <c r="L7" s="92">
        <v>-34</v>
      </c>
      <c r="M7" s="92">
        <v>93</v>
      </c>
      <c r="N7" s="92">
        <v>7</v>
      </c>
      <c r="O7" s="56">
        <v>30</v>
      </c>
      <c r="P7" s="56"/>
      <c r="Q7" s="56"/>
      <c r="R7" s="56">
        <v>-5.51</v>
      </c>
      <c r="S7" s="56">
        <v>-24.17</v>
      </c>
      <c r="T7" s="56">
        <v>340.95</v>
      </c>
      <c r="U7" s="56">
        <v>706.36</v>
      </c>
      <c r="V7" s="56">
        <v>-21</v>
      </c>
      <c r="W7" s="56">
        <v>-1218</v>
      </c>
      <c r="X7" s="56">
        <v>-941</v>
      </c>
      <c r="Y7" s="56">
        <v>-2604</v>
      </c>
      <c r="Z7" s="56">
        <v>-1603</v>
      </c>
      <c r="AA7" s="56">
        <v>-1557</v>
      </c>
      <c r="AB7" s="56">
        <v>-9.8800000000000008</v>
      </c>
      <c r="AC7" s="56">
        <v>-12.37</v>
      </c>
      <c r="AD7" s="56">
        <v>-388.34</v>
      </c>
      <c r="AE7" s="56">
        <v>-719.68</v>
      </c>
      <c r="AF7" s="56">
        <v>-116.28</v>
      </c>
      <c r="AG7" s="92">
        <v>-139.36000000000001</v>
      </c>
      <c r="AH7" s="9"/>
      <c r="AI7" s="9"/>
      <c r="AJ7" s="76"/>
      <c r="AK7" s="76"/>
      <c r="AL7" s="92">
        <v>-5519.6</v>
      </c>
      <c r="AM7" s="92">
        <v>-2661.28</v>
      </c>
      <c r="AN7" s="92"/>
      <c r="AO7" s="92"/>
      <c r="AP7" s="92">
        <v>0</v>
      </c>
      <c r="AQ7" s="92">
        <v>1</v>
      </c>
      <c r="AR7" s="9">
        <v>-197</v>
      </c>
      <c r="AS7" s="9">
        <v>-396</v>
      </c>
      <c r="AT7" s="92">
        <v>-8580</v>
      </c>
      <c r="AU7" s="92">
        <v>2955</v>
      </c>
      <c r="AV7" s="92">
        <v>110</v>
      </c>
      <c r="AW7" s="92">
        <v>-1106</v>
      </c>
      <c r="AX7" s="92">
        <v>16</v>
      </c>
      <c r="AY7" s="92">
        <v>48</v>
      </c>
      <c r="AZ7" s="9"/>
      <c r="BA7" s="9"/>
      <c r="BB7" s="92">
        <v>-2349</v>
      </c>
      <c r="BC7" s="92">
        <v>-1786</v>
      </c>
      <c r="BD7" s="92">
        <v>2218.5100000000002</v>
      </c>
      <c r="BE7" s="92">
        <v>4872.67</v>
      </c>
      <c r="BF7" s="92">
        <v>-1042</v>
      </c>
      <c r="BG7" s="92">
        <v>-1816</v>
      </c>
      <c r="BH7" s="92">
        <v>-3477</v>
      </c>
      <c r="BI7" s="92">
        <v>-3181</v>
      </c>
      <c r="BJ7" s="92">
        <v>12</v>
      </c>
      <c r="BK7" s="92">
        <v>93</v>
      </c>
      <c r="BL7" s="67">
        <f t="shared" ref="BL7:BL8" si="0">B7+D7+F7+H7+J7+L7+N7+P7+R7+T7+V7+X7+Z7+AB7+AD7+AF7+AH7+AJ7+AL7+AN7+AP7+AR7+AT7+AV7+AX7+AZ7+BB7+BD7+BF7+BH7+BJ7</f>
        <v>-20785.150000000001</v>
      </c>
      <c r="BM7" s="67">
        <f t="shared" ref="BM7:BM8" si="1">C7+E7+G7+I7+K7+M7+O7+Q7+S7+U7+W7+Y7+AA7+AC7+AE7+AG7+AI7+AK7+AM7+AO7+AQ7+AS7+AU7+AW7+AY7+BA7+BC7+BE7+BG7+BI7+BK7</f>
        <v>-7709.83</v>
      </c>
    </row>
    <row r="8" spans="1:65" x14ac:dyDescent="0.25">
      <c r="A8" s="2" t="s">
        <v>217</v>
      </c>
      <c r="B8" s="92">
        <v>-11035</v>
      </c>
      <c r="C8" s="92">
        <v>-23023</v>
      </c>
      <c r="D8" s="92">
        <v>-10861</v>
      </c>
      <c r="E8" s="92">
        <v>-24149</v>
      </c>
      <c r="F8" s="92">
        <v>16516</v>
      </c>
      <c r="G8" s="92">
        <v>26811</v>
      </c>
      <c r="H8" s="92">
        <v>40310</v>
      </c>
      <c r="I8" s="92">
        <v>73356</v>
      </c>
      <c r="J8" s="92">
        <v>9983.2099999999991</v>
      </c>
      <c r="K8" s="76">
        <v>-10541.79</v>
      </c>
      <c r="L8" s="92">
        <v>11136</v>
      </c>
      <c r="M8" s="92">
        <v>22822</v>
      </c>
      <c r="N8" s="92">
        <v>-8614</v>
      </c>
      <c r="O8" s="92">
        <v>-6140</v>
      </c>
      <c r="P8" s="92">
        <v>1806.81</v>
      </c>
      <c r="Q8" s="92">
        <v>-5598.92</v>
      </c>
      <c r="R8" s="92">
        <v>-2634.4</v>
      </c>
      <c r="S8" s="92">
        <v>-5760.16</v>
      </c>
      <c r="T8" s="92">
        <v>3165.67</v>
      </c>
      <c r="U8" s="92">
        <v>4199.63</v>
      </c>
      <c r="V8" s="92">
        <v>16609</v>
      </c>
      <c r="W8" s="92">
        <v>11044</v>
      </c>
      <c r="X8" s="92">
        <v>40675</v>
      </c>
      <c r="Y8" s="92">
        <v>41690</v>
      </c>
      <c r="Z8" s="92">
        <v>-12825</v>
      </c>
      <c r="AA8" s="92">
        <v>-12989</v>
      </c>
      <c r="AB8" s="76">
        <v>-1989.07</v>
      </c>
      <c r="AC8" s="92">
        <v>-3094.91</v>
      </c>
      <c r="AD8" s="92">
        <v>862.62</v>
      </c>
      <c r="AE8" s="92">
        <v>2028.48</v>
      </c>
      <c r="AF8" s="92">
        <v>137.37</v>
      </c>
      <c r="AG8" s="92">
        <v>2831.03</v>
      </c>
      <c r="AH8" s="92">
        <v>-7618.3</v>
      </c>
      <c r="AI8" s="92">
        <v>-17925.41</v>
      </c>
      <c r="AJ8" s="92">
        <v>3979.81</v>
      </c>
      <c r="AK8" s="76">
        <v>-5632.65</v>
      </c>
      <c r="AL8" s="92">
        <v>-2455.46</v>
      </c>
      <c r="AM8" s="92">
        <v>-62692.31</v>
      </c>
      <c r="AN8" s="92">
        <v>-2933</v>
      </c>
      <c r="AO8" s="92">
        <v>-2976</v>
      </c>
      <c r="AP8" s="92">
        <v>-1356</v>
      </c>
      <c r="AQ8" s="92">
        <v>-3064</v>
      </c>
      <c r="AR8" s="76">
        <v>11131</v>
      </c>
      <c r="AS8" s="76">
        <v>18432</v>
      </c>
      <c r="AT8" s="92">
        <v>-92266</v>
      </c>
      <c r="AU8" s="92">
        <v>334126</v>
      </c>
      <c r="AV8" s="92">
        <v>-15178</v>
      </c>
      <c r="AW8" s="92">
        <v>-10786</v>
      </c>
      <c r="AX8" s="92">
        <v>15153</v>
      </c>
      <c r="AY8" s="92">
        <v>31173</v>
      </c>
      <c r="AZ8" s="9">
        <v>-33460</v>
      </c>
      <c r="BA8" s="9">
        <v>-66166</v>
      </c>
      <c r="BB8" s="92">
        <v>11650</v>
      </c>
      <c r="BC8" s="92">
        <v>33641</v>
      </c>
      <c r="BD8" s="92">
        <v>-29436.51</v>
      </c>
      <c r="BE8" s="92">
        <v>-74098.100000000006</v>
      </c>
      <c r="BF8" s="92">
        <v>-65689</v>
      </c>
      <c r="BG8" s="92">
        <v>-134293</v>
      </c>
      <c r="BH8" s="92">
        <v>-42880</v>
      </c>
      <c r="BI8" s="92">
        <v>-91458</v>
      </c>
      <c r="BJ8" s="92">
        <v>343</v>
      </c>
      <c r="BK8" s="92">
        <v>3912</v>
      </c>
      <c r="BL8" s="67">
        <f t="shared" si="0"/>
        <v>-157772.25000000003</v>
      </c>
      <c r="BM8" s="67">
        <f t="shared" si="1"/>
        <v>45677.890000000014</v>
      </c>
    </row>
    <row r="9" spans="1:65" x14ac:dyDescent="0.25">
      <c r="A9" s="3" t="s">
        <v>218</v>
      </c>
      <c r="B9" s="9"/>
      <c r="C9" s="9"/>
      <c r="D9" s="9"/>
      <c r="E9" s="9"/>
      <c r="F9" s="9"/>
      <c r="G9" s="9"/>
      <c r="H9" s="9"/>
      <c r="I9" s="9"/>
      <c r="J9" s="76"/>
      <c r="K9" s="76"/>
      <c r="L9" s="9"/>
      <c r="M9" s="9"/>
      <c r="N9" s="9"/>
      <c r="O9" s="9"/>
      <c r="P9" s="9"/>
      <c r="Q9" s="9"/>
      <c r="R9" s="92"/>
      <c r="S9" s="92"/>
      <c r="T9" s="76"/>
      <c r="U9" s="76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67"/>
      <c r="BM9" s="67"/>
    </row>
    <row r="10" spans="1:65" x14ac:dyDescent="0.25">
      <c r="A10" s="2" t="s">
        <v>219</v>
      </c>
      <c r="B10" s="92">
        <v>226</v>
      </c>
      <c r="C10" s="92">
        <v>398</v>
      </c>
      <c r="D10" s="92">
        <v>552</v>
      </c>
      <c r="E10" s="92">
        <v>1085</v>
      </c>
      <c r="F10" s="92">
        <v>4749</v>
      </c>
      <c r="G10" s="92">
        <v>10378</v>
      </c>
      <c r="H10" s="92">
        <v>6861</v>
      </c>
      <c r="I10" s="92">
        <v>14607</v>
      </c>
      <c r="J10" s="92">
        <v>1510.93</v>
      </c>
      <c r="K10" s="92">
        <v>3026.61</v>
      </c>
      <c r="L10" s="92">
        <v>2314</v>
      </c>
      <c r="M10" s="92">
        <v>4204</v>
      </c>
      <c r="N10" s="92">
        <v>1835</v>
      </c>
      <c r="O10" s="92">
        <v>3655</v>
      </c>
      <c r="P10" s="92">
        <v>10849.64</v>
      </c>
      <c r="Q10" s="92">
        <v>20815.439999999999</v>
      </c>
      <c r="R10" s="92">
        <v>81.290000000000006</v>
      </c>
      <c r="S10" s="92">
        <v>174.04</v>
      </c>
      <c r="T10" s="92">
        <v>2032.2</v>
      </c>
      <c r="U10" s="92">
        <v>4025.17</v>
      </c>
      <c r="V10" s="92">
        <v>5850</v>
      </c>
      <c r="W10" s="92">
        <v>11057</v>
      </c>
      <c r="X10" s="92">
        <v>14259</v>
      </c>
      <c r="Y10" s="92">
        <v>27836</v>
      </c>
      <c r="Z10" s="92">
        <v>5513</v>
      </c>
      <c r="AA10" s="92">
        <v>11380</v>
      </c>
      <c r="AB10" s="92">
        <v>510.2</v>
      </c>
      <c r="AC10" s="92">
        <v>853.68</v>
      </c>
      <c r="AD10" s="92">
        <v>1581.61</v>
      </c>
      <c r="AE10" s="92">
        <v>3080.52</v>
      </c>
      <c r="AF10" s="92">
        <v>706.84</v>
      </c>
      <c r="AG10" s="92">
        <v>1287.51</v>
      </c>
      <c r="AH10" s="92">
        <v>387.49</v>
      </c>
      <c r="AI10" s="92">
        <v>817.99</v>
      </c>
      <c r="AJ10" s="92">
        <v>844.93</v>
      </c>
      <c r="AK10" s="92">
        <v>1677.48</v>
      </c>
      <c r="AL10" s="92">
        <v>1094.3900000000001</v>
      </c>
      <c r="AM10" s="92">
        <v>2075.85</v>
      </c>
      <c r="AN10" s="92">
        <v>396</v>
      </c>
      <c r="AO10" s="92">
        <v>799</v>
      </c>
      <c r="AP10" s="92">
        <v>357</v>
      </c>
      <c r="AQ10" s="92">
        <v>667</v>
      </c>
      <c r="AR10" s="76">
        <v>3687</v>
      </c>
      <c r="AS10" s="76">
        <v>7359</v>
      </c>
      <c r="AT10" s="92">
        <v>207876</v>
      </c>
      <c r="AU10" s="92">
        <v>412103</v>
      </c>
      <c r="AV10" s="92">
        <v>3404</v>
      </c>
      <c r="AW10" s="92">
        <v>6359</v>
      </c>
      <c r="AX10" s="92">
        <v>2476</v>
      </c>
      <c r="AY10" s="92">
        <v>4977</v>
      </c>
      <c r="AZ10" s="92">
        <v>5625</v>
      </c>
      <c r="BA10" s="92">
        <v>11253</v>
      </c>
      <c r="BB10" s="92">
        <v>5521</v>
      </c>
      <c r="BC10" s="92">
        <v>10607</v>
      </c>
      <c r="BD10" s="92">
        <v>33750.79</v>
      </c>
      <c r="BE10" s="92">
        <v>61202.8</v>
      </c>
      <c r="BF10" s="92">
        <v>1642</v>
      </c>
      <c r="BG10" s="92">
        <v>4062</v>
      </c>
      <c r="BH10" s="92">
        <v>4964</v>
      </c>
      <c r="BI10" s="92">
        <v>10353</v>
      </c>
      <c r="BJ10" s="92">
        <v>2352</v>
      </c>
      <c r="BK10" s="92">
        <v>2947</v>
      </c>
      <c r="BL10" s="67">
        <f t="shared" ref="BL10:BL16" si="2">B10+D10+F10+H10+J10+L10+N10+P10+R10+T10+V10+X10+Z10+AB10+AD10+AF10+AH10+AJ10+AL10+AN10+AP10+AR10+AT10+AV10+AX10+AZ10+BB10+BD10+BF10+BH10+BJ10</f>
        <v>333809.31</v>
      </c>
      <c r="BM10" s="67">
        <f t="shared" ref="BM10:BM16" si="3">C10+E10+G10+I10+K10+M10+O10+Q10+S10+U10+W10+Y10+AA10+AC10+AE10+AG10+AI10+AK10+AM10+AO10+AQ10+AS10+AU10+AW10+AY10+BA10+BC10+BE10+BG10+BI10+BK10</f>
        <v>655123.09000000008</v>
      </c>
    </row>
    <row r="11" spans="1:65" x14ac:dyDescent="0.25">
      <c r="A11" s="2" t="s">
        <v>220</v>
      </c>
      <c r="B11" s="92">
        <v>23</v>
      </c>
      <c r="C11" s="92">
        <v>51</v>
      </c>
      <c r="D11" s="92">
        <v>169</v>
      </c>
      <c r="E11" s="92">
        <v>313</v>
      </c>
      <c r="F11" s="92">
        <v>395</v>
      </c>
      <c r="G11" s="92">
        <v>461</v>
      </c>
      <c r="H11" s="92">
        <v>5684</v>
      </c>
      <c r="I11" s="92">
        <v>10548</v>
      </c>
      <c r="J11" s="76"/>
      <c r="K11" s="92">
        <v>24.7</v>
      </c>
      <c r="L11" s="92">
        <v>372</v>
      </c>
      <c r="M11" s="92">
        <v>684</v>
      </c>
      <c r="N11" s="92">
        <v>567</v>
      </c>
      <c r="O11" s="92">
        <v>766</v>
      </c>
      <c r="P11" s="92">
        <v>2111.0500000000002</v>
      </c>
      <c r="Q11" s="92">
        <v>3638.32</v>
      </c>
      <c r="R11" s="92">
        <v>265.92</v>
      </c>
      <c r="S11" s="92">
        <v>346.71</v>
      </c>
      <c r="T11" s="92">
        <v>299.83</v>
      </c>
      <c r="U11" s="92">
        <v>401.54</v>
      </c>
      <c r="V11" s="92">
        <v>1030</v>
      </c>
      <c r="W11" s="92">
        <v>4105</v>
      </c>
      <c r="X11" s="92">
        <v>3567</v>
      </c>
      <c r="Y11" s="92">
        <v>11034</v>
      </c>
      <c r="Z11" s="92">
        <v>1512</v>
      </c>
      <c r="AA11" s="92">
        <v>1562</v>
      </c>
      <c r="AB11" s="92">
        <v>83.96</v>
      </c>
      <c r="AC11" s="92">
        <v>94.64</v>
      </c>
      <c r="AD11" s="92">
        <v>94.98</v>
      </c>
      <c r="AE11" s="92">
        <v>111.23</v>
      </c>
      <c r="AF11" s="92">
        <v>49.47</v>
      </c>
      <c r="AG11" s="92">
        <v>88.49</v>
      </c>
      <c r="AH11" s="92">
        <v>38.29</v>
      </c>
      <c r="AI11" s="92">
        <v>143.88</v>
      </c>
      <c r="AJ11" s="9"/>
      <c r="AK11" s="92">
        <v>44.11</v>
      </c>
      <c r="AL11" s="92">
        <v>658.53</v>
      </c>
      <c r="AM11" s="92">
        <v>1075.28</v>
      </c>
      <c r="AN11" s="92">
        <v>109</v>
      </c>
      <c r="AO11" s="92">
        <v>207</v>
      </c>
      <c r="AP11" s="92">
        <v>7</v>
      </c>
      <c r="AQ11" s="92">
        <v>11</v>
      </c>
      <c r="AR11" s="76">
        <v>413</v>
      </c>
      <c r="AS11" s="76">
        <v>984</v>
      </c>
      <c r="AT11" s="92">
        <v>47317</v>
      </c>
      <c r="AU11" s="92">
        <v>148474</v>
      </c>
      <c r="AV11" s="92">
        <v>4189</v>
      </c>
      <c r="AW11" s="92">
        <v>8205</v>
      </c>
      <c r="AX11" s="92">
        <v>421</v>
      </c>
      <c r="AY11" s="92">
        <v>421</v>
      </c>
      <c r="AZ11" s="92">
        <v>4986</v>
      </c>
      <c r="BA11" s="92">
        <v>5101</v>
      </c>
      <c r="BB11" s="92">
        <v>1720</v>
      </c>
      <c r="BC11" s="92">
        <v>4404</v>
      </c>
      <c r="BD11" s="92">
        <v>29990.11</v>
      </c>
      <c r="BE11" s="92">
        <v>41767.54</v>
      </c>
      <c r="BF11" s="92">
        <v>433</v>
      </c>
      <c r="BG11" s="92">
        <v>1520</v>
      </c>
      <c r="BH11" s="92">
        <v>1683</v>
      </c>
      <c r="BI11" s="92">
        <v>2667</v>
      </c>
      <c r="BJ11" s="92">
        <v>277</v>
      </c>
      <c r="BK11" s="92">
        <v>321</v>
      </c>
      <c r="BL11" s="67">
        <f t="shared" si="2"/>
        <v>108466.14</v>
      </c>
      <c r="BM11" s="67">
        <f t="shared" si="3"/>
        <v>249575.44</v>
      </c>
    </row>
    <row r="12" spans="1:65" x14ac:dyDescent="0.25">
      <c r="A12" s="2" t="s">
        <v>221</v>
      </c>
      <c r="B12" s="92">
        <v>-4</v>
      </c>
      <c r="C12" s="92">
        <v>-14</v>
      </c>
      <c r="D12" s="76"/>
      <c r="E12" s="76"/>
      <c r="F12" s="9"/>
      <c r="G12" s="9"/>
      <c r="H12" s="92">
        <v>-64</v>
      </c>
      <c r="I12" s="92">
        <v>-371</v>
      </c>
      <c r="J12" s="9"/>
      <c r="K12" s="9"/>
      <c r="L12" s="92"/>
      <c r="M12" s="92"/>
      <c r="N12" s="76"/>
      <c r="O12" s="92">
        <v>-20</v>
      </c>
      <c r="P12" s="92"/>
      <c r="Q12" s="92"/>
      <c r="R12" s="92">
        <v>-8.17</v>
      </c>
      <c r="S12" s="92">
        <v>-8.17</v>
      </c>
      <c r="T12" s="91">
        <v>-0.04</v>
      </c>
      <c r="U12" s="92">
        <v>-1.52</v>
      </c>
      <c r="V12" s="92">
        <v>-103</v>
      </c>
      <c r="W12" s="92">
        <v>-2601</v>
      </c>
      <c r="X12" s="92">
        <v>-48</v>
      </c>
      <c r="Y12" s="92">
        <v>-712</v>
      </c>
      <c r="Z12" s="76"/>
      <c r="AA12" s="76"/>
      <c r="AB12" s="92">
        <v>-8.39</v>
      </c>
      <c r="AC12" s="92">
        <v>-17.28</v>
      </c>
      <c r="AD12" s="76"/>
      <c r="AE12" s="76"/>
      <c r="AF12" s="92">
        <v>-1.75</v>
      </c>
      <c r="AG12" s="92">
        <v>-3.91</v>
      </c>
      <c r="AH12" s="9"/>
      <c r="AI12" s="9"/>
      <c r="AJ12" s="9">
        <v>-38.82</v>
      </c>
      <c r="AK12" s="9"/>
      <c r="AL12" s="9"/>
      <c r="AM12" s="9"/>
      <c r="AN12" s="9"/>
      <c r="AO12" s="9"/>
      <c r="AP12" s="9"/>
      <c r="AQ12" s="9"/>
      <c r="AR12" s="9">
        <v>-13</v>
      </c>
      <c r="AS12" s="9">
        <v>-14</v>
      </c>
      <c r="AT12" s="92">
        <v>-10779</v>
      </c>
      <c r="AU12" s="92">
        <v>-20981</v>
      </c>
      <c r="AV12" s="92">
        <v>-532</v>
      </c>
      <c r="AW12" s="92">
        <v>-844</v>
      </c>
      <c r="AX12" s="9"/>
      <c r="AY12" s="9"/>
      <c r="AZ12" s="9"/>
      <c r="BA12" s="9"/>
      <c r="BB12" s="92">
        <v>-139</v>
      </c>
      <c r="BC12" s="92">
        <v>-178</v>
      </c>
      <c r="BD12" s="9"/>
      <c r="BE12" s="9"/>
      <c r="BF12" s="9"/>
      <c r="BG12" s="9"/>
      <c r="BH12" s="9"/>
      <c r="BI12" s="9"/>
      <c r="BJ12" s="92">
        <v>-5</v>
      </c>
      <c r="BK12" s="92">
        <v>-5</v>
      </c>
      <c r="BL12" s="67">
        <f t="shared" si="2"/>
        <v>-11744.17</v>
      </c>
      <c r="BM12" s="67">
        <f t="shared" si="3"/>
        <v>-25770.880000000001</v>
      </c>
    </row>
    <row r="13" spans="1:65" ht="15" customHeight="1" x14ac:dyDescent="0.25">
      <c r="A13" s="2" t="s">
        <v>222</v>
      </c>
      <c r="B13" s="9"/>
      <c r="C13" s="9"/>
      <c r="D13" s="76">
        <v>-78</v>
      </c>
      <c r="E13" s="76">
        <v>-126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2"/>
      <c r="Q13" s="9"/>
      <c r="R13" s="92"/>
      <c r="S13" s="92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67">
        <f t="shared" si="2"/>
        <v>-78</v>
      </c>
      <c r="BM13" s="67">
        <f t="shared" si="3"/>
        <v>-126</v>
      </c>
    </row>
    <row r="14" spans="1:65" x14ac:dyDescent="0.25">
      <c r="A14" s="9" t="s">
        <v>223</v>
      </c>
      <c r="B14" s="9"/>
      <c r="C14" s="9"/>
      <c r="D14" s="9"/>
      <c r="E14" s="9"/>
      <c r="F14" s="92">
        <v>50</v>
      </c>
      <c r="G14" s="76">
        <v>110</v>
      </c>
      <c r="H14" s="92">
        <v>-131</v>
      </c>
      <c r="I14" s="92">
        <v>-974</v>
      </c>
      <c r="J14" s="9"/>
      <c r="K14" s="9"/>
      <c r="L14" s="9"/>
      <c r="M14" s="9"/>
      <c r="N14" s="9"/>
      <c r="O14" s="9"/>
      <c r="P14" s="9"/>
      <c r="Q14" s="9"/>
      <c r="R14" s="92">
        <v>21</v>
      </c>
      <c r="S14" s="92">
        <v>34.75</v>
      </c>
      <c r="T14" s="92">
        <v>-33.26</v>
      </c>
      <c r="U14" s="92">
        <v>-82.68</v>
      </c>
      <c r="V14" s="9">
        <v>-383</v>
      </c>
      <c r="W14" s="9">
        <v>-707</v>
      </c>
      <c r="X14" s="9">
        <v>-365</v>
      </c>
      <c r="Y14" s="9">
        <v>-541</v>
      </c>
      <c r="Z14" s="92">
        <v>-79</v>
      </c>
      <c r="AA14" s="92">
        <v>-343</v>
      </c>
      <c r="AB14" s="92">
        <v>-85.41</v>
      </c>
      <c r="AC14" s="92">
        <v>-144.78</v>
      </c>
      <c r="AD14" s="9"/>
      <c r="AE14" s="9"/>
      <c r="AF14" s="9">
        <v>-46.51</v>
      </c>
      <c r="AG14" s="9">
        <v>-81.5</v>
      </c>
      <c r="AH14" s="92">
        <v>-44.37</v>
      </c>
      <c r="AI14" s="92">
        <v>-92.73</v>
      </c>
      <c r="AJ14" s="9"/>
      <c r="AK14" s="9"/>
      <c r="AL14" s="9"/>
      <c r="AM14" s="9"/>
      <c r="AN14" s="9"/>
      <c r="AO14" s="9"/>
      <c r="AP14" s="9">
        <v>-34</v>
      </c>
      <c r="AQ14" s="9">
        <v>-60</v>
      </c>
      <c r="AR14" s="9">
        <v>-181</v>
      </c>
      <c r="AS14" s="9">
        <v>-301</v>
      </c>
      <c r="AT14" s="9"/>
      <c r="AU14" s="9"/>
      <c r="AV14" s="9">
        <v>-139</v>
      </c>
      <c r="AW14" s="9">
        <v>-299</v>
      </c>
      <c r="AX14" s="76"/>
      <c r="AY14" s="76"/>
      <c r="AZ14" s="9">
        <v>-174</v>
      </c>
      <c r="BA14" s="9">
        <v>-346</v>
      </c>
      <c r="BB14" s="9"/>
      <c r="BC14" s="9"/>
      <c r="BD14" s="9"/>
      <c r="BE14" s="9"/>
      <c r="BF14" s="9"/>
      <c r="BG14" s="9"/>
      <c r="BH14" s="9"/>
      <c r="BI14" s="9"/>
      <c r="BJ14" s="76"/>
      <c r="BK14" s="76"/>
      <c r="BL14" s="67">
        <f t="shared" si="2"/>
        <v>-1624.55</v>
      </c>
      <c r="BM14" s="67">
        <f t="shared" si="3"/>
        <v>-3827.9400000000005</v>
      </c>
    </row>
    <row r="15" spans="1:65" s="7" customFormat="1" x14ac:dyDescent="0.25">
      <c r="A15" s="3" t="s">
        <v>224</v>
      </c>
      <c r="B15" s="10">
        <f>B16-B14-B13-B12-B11-B10-B8-B7-B6</f>
        <v>0</v>
      </c>
      <c r="C15" s="10">
        <f t="shared" ref="C15:AE15" si="4">C16-C14-C13-C12-C11-C10-C8-C7-C6</f>
        <v>0</v>
      </c>
      <c r="D15" s="10">
        <f t="shared" si="4"/>
        <v>0</v>
      </c>
      <c r="E15" s="10">
        <f t="shared" si="4"/>
        <v>0</v>
      </c>
      <c r="F15" s="10">
        <f t="shared" si="4"/>
        <v>21</v>
      </c>
      <c r="G15" s="10">
        <f t="shared" si="4"/>
        <v>45</v>
      </c>
      <c r="H15" s="10">
        <f t="shared" si="4"/>
        <v>9</v>
      </c>
      <c r="I15" s="10">
        <f t="shared" si="4"/>
        <v>9</v>
      </c>
      <c r="J15" s="10">
        <f t="shared" si="4"/>
        <v>15.010000000000218</v>
      </c>
      <c r="K15" s="10">
        <f t="shared" si="4"/>
        <v>15.010000000000218</v>
      </c>
      <c r="L15" s="10">
        <f t="shared" si="4"/>
        <v>0</v>
      </c>
      <c r="M15" s="10">
        <f t="shared" si="4"/>
        <v>0</v>
      </c>
      <c r="N15" s="10">
        <f t="shared" si="4"/>
        <v>1</v>
      </c>
      <c r="O15" s="10">
        <f t="shared" si="4"/>
        <v>0</v>
      </c>
      <c r="P15" s="10">
        <f t="shared" si="4"/>
        <v>346.95000000000209</v>
      </c>
      <c r="Q15" s="10">
        <f t="shared" si="4"/>
        <v>458.22000000000298</v>
      </c>
      <c r="R15" s="10">
        <f t="shared" ref="R15:S15" si="5">R16-R14-R13-R12-R11-R10-R8-R7-R6</f>
        <v>0.17000000000030724</v>
      </c>
      <c r="S15" s="10">
        <f t="shared" si="5"/>
        <v>0</v>
      </c>
      <c r="T15" s="10">
        <f t="shared" si="4"/>
        <v>9.9999999999340616E-3</v>
      </c>
      <c r="U15" s="10">
        <f t="shared" si="4"/>
        <v>0</v>
      </c>
      <c r="V15" s="10">
        <f t="shared" si="4"/>
        <v>-1</v>
      </c>
      <c r="W15" s="10">
        <f t="shared" si="4"/>
        <v>0</v>
      </c>
      <c r="X15" s="10">
        <f t="shared" si="4"/>
        <v>0</v>
      </c>
      <c r="Y15" s="10">
        <f t="shared" si="4"/>
        <v>1</v>
      </c>
      <c r="Z15" s="10">
        <f t="shared" si="4"/>
        <v>19</v>
      </c>
      <c r="AA15" s="10">
        <f t="shared" si="4"/>
        <v>54</v>
      </c>
      <c r="AB15" s="10">
        <f t="shared" si="4"/>
        <v>0.35000000000034959</v>
      </c>
      <c r="AC15" s="10">
        <f t="shared" si="4"/>
        <v>3.6299999999995407</v>
      </c>
      <c r="AD15" s="10">
        <f t="shared" si="4"/>
        <v>0</v>
      </c>
      <c r="AE15" s="10">
        <f t="shared" si="4"/>
        <v>0</v>
      </c>
      <c r="AF15" s="10">
        <f t="shared" ref="AF15:BK15" si="6">AF16-AF14-AF13-AF12-AF11-AF10-AF8-AF7-AF6</f>
        <v>0.14999999999997726</v>
      </c>
      <c r="AG15" s="10">
        <f t="shared" si="6"/>
        <v>2.6499999999996362</v>
      </c>
      <c r="AH15" s="10">
        <f t="shared" si="6"/>
        <v>-9.999999999308784E-3</v>
      </c>
      <c r="AI15" s="10">
        <f t="shared" si="6"/>
        <v>9.9999999983992893E-3</v>
      </c>
      <c r="AJ15" s="10">
        <f t="shared" si="6"/>
        <v>718.85999999999922</v>
      </c>
      <c r="AK15" s="10">
        <f t="shared" si="6"/>
        <v>693.34999999999945</v>
      </c>
      <c r="AL15" s="10">
        <f t="shared" si="6"/>
        <v>522.5</v>
      </c>
      <c r="AM15" s="10">
        <f t="shared" si="6"/>
        <v>1392.4099999999994</v>
      </c>
      <c r="AN15" s="10">
        <f t="shared" si="6"/>
        <v>1</v>
      </c>
      <c r="AO15" s="10">
        <f t="shared" si="6"/>
        <v>0</v>
      </c>
      <c r="AP15" s="10">
        <f t="shared" si="6"/>
        <v>24</v>
      </c>
      <c r="AQ15" s="10">
        <f t="shared" si="6"/>
        <v>25</v>
      </c>
      <c r="AR15" s="10">
        <f t="shared" si="6"/>
        <v>427</v>
      </c>
      <c r="AS15" s="10">
        <f t="shared" si="6"/>
        <v>720</v>
      </c>
      <c r="AT15" s="10">
        <f t="shared" si="6"/>
        <v>59</v>
      </c>
      <c r="AU15" s="10">
        <f t="shared" si="6"/>
        <v>113</v>
      </c>
      <c r="AV15" s="10">
        <f t="shared" si="6"/>
        <v>1170</v>
      </c>
      <c r="AW15" s="10">
        <f t="shared" si="6"/>
        <v>1171</v>
      </c>
      <c r="AX15" s="10">
        <f t="shared" si="6"/>
        <v>-70</v>
      </c>
      <c r="AY15" s="10">
        <f t="shared" si="6"/>
        <v>-156</v>
      </c>
      <c r="AZ15" s="10">
        <f t="shared" si="6"/>
        <v>684</v>
      </c>
      <c r="BA15" s="10">
        <f t="shared" si="6"/>
        <v>690</v>
      </c>
      <c r="BB15" s="10">
        <f t="shared" si="6"/>
        <v>36</v>
      </c>
      <c r="BC15" s="10">
        <f t="shared" si="6"/>
        <v>89</v>
      </c>
      <c r="BD15" s="10">
        <f t="shared" si="6"/>
        <v>3289.58</v>
      </c>
      <c r="BE15" s="10">
        <f t="shared" si="6"/>
        <v>3521.7100000000019</v>
      </c>
      <c r="BF15" s="10">
        <f t="shared" si="6"/>
        <v>741</v>
      </c>
      <c r="BG15" s="10">
        <f t="shared" si="6"/>
        <v>1049</v>
      </c>
      <c r="BH15" s="10">
        <f t="shared" si="6"/>
        <v>120</v>
      </c>
      <c r="BI15" s="10">
        <f t="shared" si="6"/>
        <v>153</v>
      </c>
      <c r="BJ15" s="10">
        <f t="shared" si="6"/>
        <v>-249</v>
      </c>
      <c r="BK15" s="10">
        <f t="shared" si="6"/>
        <v>-313</v>
      </c>
      <c r="BL15" s="63">
        <f t="shared" si="2"/>
        <v>7885.5700000000024</v>
      </c>
      <c r="BM15" s="63">
        <f t="shared" si="3"/>
        <v>9736.9900000000016</v>
      </c>
    </row>
    <row r="16" spans="1:65" s="7" customFormat="1" x14ac:dyDescent="0.25">
      <c r="A16" s="3" t="s">
        <v>25</v>
      </c>
      <c r="B16" s="10">
        <v>-10791</v>
      </c>
      <c r="C16" s="10">
        <v>-22589</v>
      </c>
      <c r="D16" s="10">
        <v>-10218</v>
      </c>
      <c r="E16" s="10">
        <v>-22877</v>
      </c>
      <c r="F16" s="10">
        <v>21731</v>
      </c>
      <c r="G16" s="10">
        <v>37805</v>
      </c>
      <c r="H16" s="10">
        <v>55039</v>
      </c>
      <c r="I16" s="10">
        <v>105300</v>
      </c>
      <c r="J16" s="10">
        <v>11509.15</v>
      </c>
      <c r="K16" s="10">
        <v>-7475.47</v>
      </c>
      <c r="L16" s="10">
        <v>14244</v>
      </c>
      <c r="M16" s="10">
        <v>29237</v>
      </c>
      <c r="N16" s="10">
        <v>-7623</v>
      </c>
      <c r="O16" s="10">
        <v>-5012</v>
      </c>
      <c r="P16" s="10">
        <v>15114.45</v>
      </c>
      <c r="Q16" s="10">
        <v>19313.060000000001</v>
      </c>
      <c r="R16" s="10">
        <v>-2330.1999999999998</v>
      </c>
      <c r="S16" s="10">
        <v>-5293.83</v>
      </c>
      <c r="T16" s="10">
        <v>6108.73</v>
      </c>
      <c r="U16" s="10">
        <v>8200.7000000000007</v>
      </c>
      <c r="V16" s="10">
        <v>24482</v>
      </c>
      <c r="W16" s="10">
        <v>21938</v>
      </c>
      <c r="X16" s="10">
        <v>63127</v>
      </c>
      <c r="Y16" s="10">
        <v>88750</v>
      </c>
      <c r="Z16" s="10">
        <v>-5834</v>
      </c>
      <c r="AA16" s="10">
        <v>956</v>
      </c>
      <c r="AB16" s="10">
        <v>-1565.1</v>
      </c>
      <c r="AC16" s="10">
        <v>-2038.92</v>
      </c>
      <c r="AD16" s="10">
        <v>2284.2199999999998</v>
      </c>
      <c r="AE16" s="10">
        <v>5023.38</v>
      </c>
      <c r="AF16" s="10">
        <v>195.72</v>
      </c>
      <c r="AG16" s="10">
        <v>2122.6999999999998</v>
      </c>
      <c r="AH16" s="10">
        <v>-7236.9</v>
      </c>
      <c r="AI16" s="10">
        <v>-17056.259999999998</v>
      </c>
      <c r="AJ16" s="10">
        <v>5504.78</v>
      </c>
      <c r="AK16" s="10">
        <v>-3217.71</v>
      </c>
      <c r="AL16" s="10">
        <v>1564.45</v>
      </c>
      <c r="AM16" s="10">
        <v>-61061.72</v>
      </c>
      <c r="AN16" s="10">
        <v>-2608</v>
      </c>
      <c r="AO16" s="10">
        <v>-1485</v>
      </c>
      <c r="AP16" s="10">
        <v>-1197</v>
      </c>
      <c r="AQ16" s="10">
        <v>-2833</v>
      </c>
      <c r="AR16" s="10">
        <v>19970</v>
      </c>
      <c r="AS16" s="10">
        <v>33080</v>
      </c>
      <c r="AT16" s="10">
        <v>282861</v>
      </c>
      <c r="AU16" s="10">
        <v>1140027</v>
      </c>
      <c r="AV16" s="10">
        <v>7664</v>
      </c>
      <c r="AW16" s="10">
        <v>18098</v>
      </c>
      <c r="AX16" s="10">
        <v>18508</v>
      </c>
      <c r="AY16" s="10">
        <v>37728</v>
      </c>
      <c r="AZ16" s="10">
        <v>-22339</v>
      </c>
      <c r="BA16" s="10">
        <v>-49468</v>
      </c>
      <c r="BB16" s="10">
        <v>10960</v>
      </c>
      <c r="BC16" s="10">
        <v>42343</v>
      </c>
      <c r="BD16" s="10">
        <v>22827.58</v>
      </c>
      <c r="BE16" s="10">
        <v>44047.43</v>
      </c>
      <c r="BF16" s="10">
        <v>-68383</v>
      </c>
      <c r="BG16" s="10">
        <v>-126075</v>
      </c>
      <c r="BH16" s="10">
        <v>-31966</v>
      </c>
      <c r="BI16" s="10">
        <v>-90681</v>
      </c>
      <c r="BJ16" s="10">
        <v>3199</v>
      </c>
      <c r="BK16" s="10">
        <v>8370</v>
      </c>
      <c r="BL16" s="63">
        <f t="shared" si="2"/>
        <v>414802.88000000006</v>
      </c>
      <c r="BM16" s="63">
        <f t="shared" si="3"/>
        <v>1225175.3599999999</v>
      </c>
    </row>
    <row r="17" spans="1:65" x14ac:dyDescent="0.25">
      <c r="A17" s="3" t="s">
        <v>225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2"/>
      <c r="S17" s="92"/>
      <c r="T17" s="76"/>
      <c r="U17" s="76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66"/>
      <c r="BM17" s="66"/>
    </row>
    <row r="18" spans="1:65" x14ac:dyDescent="0.25">
      <c r="A18" s="2" t="s">
        <v>226</v>
      </c>
      <c r="B18" s="9"/>
      <c r="C18" s="9"/>
      <c r="D18" s="76">
        <v>-183</v>
      </c>
      <c r="E18" s="76">
        <v>-183</v>
      </c>
      <c r="F18" s="9"/>
      <c r="G18" s="9"/>
      <c r="H18" s="92">
        <v>-14351</v>
      </c>
      <c r="I18" s="92">
        <v>-14351</v>
      </c>
      <c r="J18" s="76"/>
      <c r="K18" s="76"/>
      <c r="L18" s="92">
        <v>-276</v>
      </c>
      <c r="M18" s="92">
        <v>-247</v>
      </c>
      <c r="N18" s="9"/>
      <c r="O18" s="9"/>
      <c r="P18" s="76"/>
      <c r="Q18" s="92"/>
      <c r="R18" s="92">
        <v>-70.8</v>
      </c>
      <c r="S18" s="92">
        <v>-70.8</v>
      </c>
      <c r="T18" s="92">
        <v>-1848.55</v>
      </c>
      <c r="U18" s="92">
        <v>-1847.12</v>
      </c>
      <c r="V18" s="76">
        <v>-2416</v>
      </c>
      <c r="W18" s="76">
        <v>-2968</v>
      </c>
      <c r="X18" s="92">
        <v>81</v>
      </c>
      <c r="Y18" s="92">
        <v>-3332</v>
      </c>
      <c r="Z18" s="92">
        <v>-1515</v>
      </c>
      <c r="AA18" s="92">
        <v>-1515</v>
      </c>
      <c r="AB18" s="9"/>
      <c r="AC18" s="9"/>
      <c r="AD18" s="76"/>
      <c r="AE18" s="76"/>
      <c r="AF18" s="92">
        <v>-1621.39</v>
      </c>
      <c r="AG18" s="92">
        <v>-1621.39</v>
      </c>
      <c r="AH18" s="76"/>
      <c r="AI18" s="76"/>
      <c r="AJ18" s="92">
        <v>-998.86</v>
      </c>
      <c r="AK18" s="92">
        <v>-998.86</v>
      </c>
      <c r="AL18" s="92">
        <v>-1.94</v>
      </c>
      <c r="AM18" s="92">
        <v>-4.82</v>
      </c>
      <c r="AN18" s="92">
        <v>-171</v>
      </c>
      <c r="AO18" s="92">
        <v>-171</v>
      </c>
      <c r="AP18" s="9"/>
      <c r="AQ18" s="9"/>
      <c r="AR18" s="9">
        <v>800</v>
      </c>
      <c r="AS18" s="9">
        <v>800</v>
      </c>
      <c r="AT18" s="9"/>
      <c r="AU18" s="9"/>
      <c r="AV18" s="76"/>
      <c r="AW18" s="76"/>
      <c r="AX18" s="9"/>
      <c r="AY18" s="9"/>
      <c r="AZ18" s="9"/>
      <c r="BA18" s="9"/>
      <c r="BB18" s="9"/>
      <c r="BC18" s="9"/>
      <c r="BD18" s="92">
        <v>573.95000000000005</v>
      </c>
      <c r="BE18" s="92">
        <v>1241.8599999999999</v>
      </c>
      <c r="BF18" s="92">
        <v>-12</v>
      </c>
      <c r="BG18" s="92">
        <v>-12</v>
      </c>
      <c r="BH18" s="92">
        <v>-433</v>
      </c>
      <c r="BI18" s="92">
        <v>-186</v>
      </c>
      <c r="BJ18" s="9"/>
      <c r="BK18" s="9"/>
      <c r="BL18" s="67">
        <f t="shared" ref="BL18:BL25" si="7">B18+D18+F18+H18+J18+L18+N18+P18+R18+T18+V18+X18+Z18+AB18+AD18+AF18+AH18+AJ18+AL18+AN18+AP18+AR18+AT18+AV18+AX18+AZ18+BB18+BD18+BF18+BH18+BJ18</f>
        <v>-22443.589999999997</v>
      </c>
      <c r="BM18" s="67">
        <f t="shared" ref="BM18:BM25" si="8">C18+E18+G18+I18+K18+M18+O18+Q18+S18+U18+W18+Y18+AA18+AC18+AE18+AG18+AI18+AK18+AM18+AO18+AQ18+AS18+AU18+AW18+AY18+BA18+BC18+BE18+BG18+BI18+BK18</f>
        <v>-25466.129999999997</v>
      </c>
    </row>
    <row r="19" spans="1:65" x14ac:dyDescent="0.25">
      <c r="A19" s="2" t="s">
        <v>227</v>
      </c>
      <c r="B19" s="9"/>
      <c r="C19" s="9"/>
      <c r="D19" s="9"/>
      <c r="E19" s="9"/>
      <c r="F19" s="9"/>
      <c r="G19" s="9"/>
      <c r="H19" s="92">
        <v>-1</v>
      </c>
      <c r="I19" s="92">
        <v>-125</v>
      </c>
      <c r="J19" s="76"/>
      <c r="K19" s="76"/>
      <c r="L19" s="92">
        <v>-349</v>
      </c>
      <c r="M19" s="92">
        <v>-349</v>
      </c>
      <c r="N19" s="9"/>
      <c r="O19" s="9"/>
      <c r="P19" s="9">
        <v>0.33</v>
      </c>
      <c r="Q19" s="76">
        <v>0.33</v>
      </c>
      <c r="R19" s="92"/>
      <c r="S19" s="92"/>
      <c r="T19" s="92">
        <v>-57.8</v>
      </c>
      <c r="U19" s="92">
        <v>21.46</v>
      </c>
      <c r="V19" s="76"/>
      <c r="W19" s="76"/>
      <c r="X19" s="92">
        <v>442</v>
      </c>
      <c r="Y19" s="92">
        <v>-303</v>
      </c>
      <c r="Z19" s="9"/>
      <c r="AA19" s="9"/>
      <c r="AB19" s="9"/>
      <c r="AC19" s="9"/>
      <c r="AD19" s="76"/>
      <c r="AE19" s="76"/>
      <c r="AF19" s="92">
        <v>-2.58</v>
      </c>
      <c r="AG19" s="92">
        <v>33.93</v>
      </c>
      <c r="AH19" s="92">
        <v>-15.33</v>
      </c>
      <c r="AI19" s="92">
        <v>7.42</v>
      </c>
      <c r="AJ19" s="92">
        <v>1062.19</v>
      </c>
      <c r="AK19" s="92">
        <v>1128.51</v>
      </c>
      <c r="AL19" s="92">
        <v>-3798.39</v>
      </c>
      <c r="AM19" s="92">
        <v>-7350.7</v>
      </c>
      <c r="AN19" s="92">
        <v>223</v>
      </c>
      <c r="AO19" s="92">
        <v>223</v>
      </c>
      <c r="AP19" s="9"/>
      <c r="AQ19" s="9"/>
      <c r="AR19" s="9">
        <v>209</v>
      </c>
      <c r="AS19" s="9">
        <v>209</v>
      </c>
      <c r="AT19" s="92">
        <v>-76122</v>
      </c>
      <c r="AU19" s="92">
        <v>-79007</v>
      </c>
      <c r="AV19" s="76"/>
      <c r="AW19" s="76"/>
      <c r="AX19" s="76"/>
      <c r="AY19" s="9">
        <v>1</v>
      </c>
      <c r="AZ19" s="76">
        <v>3</v>
      </c>
      <c r="BA19" s="76">
        <v>6</v>
      </c>
      <c r="BB19" s="92">
        <v>-122</v>
      </c>
      <c r="BC19" s="92">
        <v>-132</v>
      </c>
      <c r="BD19" s="92">
        <v>-1137.56</v>
      </c>
      <c r="BE19" s="92">
        <v>-1114.99</v>
      </c>
      <c r="BF19" s="92">
        <v>271</v>
      </c>
      <c r="BG19" s="92">
        <v>271</v>
      </c>
      <c r="BH19" s="92">
        <v>315</v>
      </c>
      <c r="BI19" s="92">
        <v>803</v>
      </c>
      <c r="BJ19" s="9"/>
      <c r="BK19" s="9"/>
      <c r="BL19" s="67">
        <f t="shared" si="7"/>
        <v>-79080.14</v>
      </c>
      <c r="BM19" s="67">
        <f t="shared" si="8"/>
        <v>-85677.040000000008</v>
      </c>
    </row>
    <row r="20" spans="1:65" x14ac:dyDescent="0.25">
      <c r="A20" s="2" t="s">
        <v>47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2"/>
      <c r="S20" s="92"/>
      <c r="T20" s="9"/>
      <c r="U20" s="9"/>
      <c r="V20" s="9"/>
      <c r="W20" s="9"/>
      <c r="X20" s="9"/>
      <c r="Y20" s="9"/>
      <c r="Z20" s="9"/>
      <c r="AA20" s="9"/>
      <c r="AB20" s="9"/>
      <c r="AC20" s="9"/>
      <c r="AD20" s="76"/>
      <c r="AE20" s="76"/>
      <c r="AF20" s="92">
        <v>-0.46</v>
      </c>
      <c r="AG20" s="92">
        <v>-0.79</v>
      </c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2">
        <v>-400000</v>
      </c>
      <c r="AU20" s="92">
        <v>-400000</v>
      </c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2">
        <v>33</v>
      </c>
      <c r="BG20" s="92">
        <v>136</v>
      </c>
      <c r="BH20" s="9"/>
      <c r="BI20" s="9"/>
      <c r="BJ20" s="9"/>
      <c r="BK20" s="9"/>
      <c r="BL20" s="67">
        <f t="shared" si="7"/>
        <v>-399967.46</v>
      </c>
      <c r="BM20" s="67">
        <f t="shared" si="8"/>
        <v>-399864.79</v>
      </c>
    </row>
    <row r="21" spans="1:65" s="7" customFormat="1" x14ac:dyDescent="0.25">
      <c r="A21" s="3" t="s">
        <v>228</v>
      </c>
      <c r="B21" s="10">
        <f>B22-B20-B19-B18</f>
        <v>17</v>
      </c>
      <c r="C21" s="10">
        <f t="shared" ref="C21:AE21" si="9">C22-C20-C19-C18</f>
        <v>38</v>
      </c>
      <c r="D21" s="10">
        <f t="shared" si="9"/>
        <v>185</v>
      </c>
      <c r="E21" s="10">
        <f t="shared" si="9"/>
        <v>229</v>
      </c>
      <c r="F21" s="10">
        <f t="shared" si="9"/>
        <v>252</v>
      </c>
      <c r="G21" s="10">
        <f t="shared" si="9"/>
        <v>426</v>
      </c>
      <c r="H21" s="10">
        <f t="shared" si="9"/>
        <v>12795</v>
      </c>
      <c r="I21" s="10">
        <f t="shared" si="9"/>
        <v>14700</v>
      </c>
      <c r="J21" s="10">
        <f t="shared" si="9"/>
        <v>194.08</v>
      </c>
      <c r="K21" s="10">
        <f t="shared" si="9"/>
        <v>348.53</v>
      </c>
      <c r="L21" s="10">
        <f t="shared" si="9"/>
        <v>12812</v>
      </c>
      <c r="M21" s="10">
        <f t="shared" si="9"/>
        <v>24049</v>
      </c>
      <c r="N21" s="10">
        <f t="shared" si="9"/>
        <v>64</v>
      </c>
      <c r="O21" s="10">
        <f t="shared" si="9"/>
        <v>127</v>
      </c>
      <c r="P21" s="10">
        <f t="shared" si="9"/>
        <v>49.52</v>
      </c>
      <c r="Q21" s="10">
        <f t="shared" si="9"/>
        <v>105.67</v>
      </c>
      <c r="R21" s="10">
        <f t="shared" ref="R21:S21" si="10">R22-R20-R19-R18</f>
        <v>59.05</v>
      </c>
      <c r="S21" s="10">
        <f t="shared" si="10"/>
        <v>101.21</v>
      </c>
      <c r="T21" s="10">
        <f t="shared" si="9"/>
        <v>2940.41</v>
      </c>
      <c r="U21" s="10">
        <f t="shared" si="9"/>
        <v>3342.88</v>
      </c>
      <c r="V21" s="10">
        <f t="shared" si="9"/>
        <v>2928</v>
      </c>
      <c r="W21" s="10">
        <f t="shared" si="9"/>
        <v>4487</v>
      </c>
      <c r="X21" s="10">
        <f t="shared" si="9"/>
        <v>3217</v>
      </c>
      <c r="Y21" s="10">
        <f t="shared" si="9"/>
        <v>7172</v>
      </c>
      <c r="Z21" s="10">
        <f t="shared" si="9"/>
        <v>1463</v>
      </c>
      <c r="AA21" s="10">
        <f t="shared" si="9"/>
        <v>1624</v>
      </c>
      <c r="AB21" s="10">
        <f t="shared" si="9"/>
        <v>13.61</v>
      </c>
      <c r="AC21" s="10">
        <f t="shared" si="9"/>
        <v>13.5</v>
      </c>
      <c r="AD21" s="10">
        <f t="shared" si="9"/>
        <v>161.94</v>
      </c>
      <c r="AE21" s="10">
        <f t="shared" si="9"/>
        <v>317.83999999999997</v>
      </c>
      <c r="AF21" s="10">
        <f t="shared" ref="AF21:BK21" si="11">AF22-AF20-AF19-AF18</f>
        <v>851.20000000000016</v>
      </c>
      <c r="AG21" s="10">
        <f t="shared" si="11"/>
        <v>1168.7</v>
      </c>
      <c r="AH21" s="10">
        <f t="shared" si="11"/>
        <v>313.65999999999997</v>
      </c>
      <c r="AI21" s="10">
        <f t="shared" si="11"/>
        <v>365.06</v>
      </c>
      <c r="AJ21" s="10">
        <f t="shared" si="11"/>
        <v>3591.4300000000003</v>
      </c>
      <c r="AK21" s="10">
        <f t="shared" si="11"/>
        <v>7141.24</v>
      </c>
      <c r="AL21" s="10">
        <f t="shared" si="11"/>
        <v>2483.19</v>
      </c>
      <c r="AM21" s="10">
        <f t="shared" si="11"/>
        <v>4391.25</v>
      </c>
      <c r="AN21" s="10">
        <f t="shared" si="11"/>
        <v>33</v>
      </c>
      <c r="AO21" s="10">
        <f t="shared" si="11"/>
        <v>40</v>
      </c>
      <c r="AP21" s="10">
        <f t="shared" si="11"/>
        <v>1136</v>
      </c>
      <c r="AQ21" s="10">
        <f t="shared" si="11"/>
        <v>2859</v>
      </c>
      <c r="AR21" s="10">
        <f t="shared" si="11"/>
        <v>7215</v>
      </c>
      <c r="AS21" s="10">
        <f t="shared" si="11"/>
        <v>8189</v>
      </c>
      <c r="AT21" s="10">
        <f t="shared" si="11"/>
        <v>292857</v>
      </c>
      <c r="AU21" s="10">
        <f t="shared" si="11"/>
        <v>344349</v>
      </c>
      <c r="AV21" s="10">
        <f t="shared" si="11"/>
        <v>680</v>
      </c>
      <c r="AW21" s="10">
        <f t="shared" si="11"/>
        <v>943</v>
      </c>
      <c r="AX21" s="10">
        <f t="shared" si="11"/>
        <v>493</v>
      </c>
      <c r="AY21" s="10">
        <f t="shared" si="11"/>
        <v>960</v>
      </c>
      <c r="AZ21" s="10">
        <f t="shared" si="11"/>
        <v>892</v>
      </c>
      <c r="BA21" s="10">
        <f t="shared" si="11"/>
        <v>1789</v>
      </c>
      <c r="BB21" s="10">
        <f t="shared" si="11"/>
        <v>1093</v>
      </c>
      <c r="BC21" s="10">
        <f t="shared" si="11"/>
        <v>2210</v>
      </c>
      <c r="BD21" s="10">
        <f t="shared" si="11"/>
        <v>10460.339999999998</v>
      </c>
      <c r="BE21" s="10">
        <f t="shared" si="11"/>
        <v>20827.98</v>
      </c>
      <c r="BF21" s="10">
        <f t="shared" si="11"/>
        <v>2205</v>
      </c>
      <c r="BG21" s="10">
        <f t="shared" si="11"/>
        <v>4067</v>
      </c>
      <c r="BH21" s="10">
        <f t="shared" si="11"/>
        <v>3459</v>
      </c>
      <c r="BI21" s="10">
        <f t="shared" si="11"/>
        <v>5351</v>
      </c>
      <c r="BJ21" s="10">
        <f t="shared" si="11"/>
        <v>737</v>
      </c>
      <c r="BK21" s="10">
        <f t="shared" si="11"/>
        <v>879</v>
      </c>
      <c r="BL21" s="63">
        <f t="shared" si="7"/>
        <v>365651.43000000005</v>
      </c>
      <c r="BM21" s="63">
        <f t="shared" si="8"/>
        <v>462611.86</v>
      </c>
    </row>
    <row r="22" spans="1:65" s="7" customFormat="1" x14ac:dyDescent="0.25">
      <c r="A22" s="3" t="s">
        <v>29</v>
      </c>
      <c r="B22" s="10">
        <v>17</v>
      </c>
      <c r="C22" s="10">
        <v>38</v>
      </c>
      <c r="D22" s="10">
        <v>2</v>
      </c>
      <c r="E22" s="10">
        <v>46</v>
      </c>
      <c r="F22" s="10">
        <v>252</v>
      </c>
      <c r="G22" s="10">
        <v>426</v>
      </c>
      <c r="H22" s="10">
        <v>-1557</v>
      </c>
      <c r="I22" s="10">
        <v>224</v>
      </c>
      <c r="J22" s="10">
        <v>194.08</v>
      </c>
      <c r="K22" s="10">
        <v>348.53</v>
      </c>
      <c r="L22" s="10">
        <v>12187</v>
      </c>
      <c r="M22" s="10">
        <v>23453</v>
      </c>
      <c r="N22" s="10">
        <v>64</v>
      </c>
      <c r="O22" s="10">
        <v>127</v>
      </c>
      <c r="P22" s="10">
        <v>49.85</v>
      </c>
      <c r="Q22" s="10">
        <v>106</v>
      </c>
      <c r="R22" s="10">
        <v>-11.75</v>
      </c>
      <c r="S22" s="10">
        <v>30.41</v>
      </c>
      <c r="T22" s="10">
        <v>1034.06</v>
      </c>
      <c r="U22" s="10">
        <v>1517.22</v>
      </c>
      <c r="V22" s="10">
        <v>512</v>
      </c>
      <c r="W22" s="10">
        <v>1519</v>
      </c>
      <c r="X22" s="10">
        <v>3740</v>
      </c>
      <c r="Y22" s="10">
        <v>3537</v>
      </c>
      <c r="Z22" s="10">
        <v>-52</v>
      </c>
      <c r="AA22" s="10">
        <v>109</v>
      </c>
      <c r="AB22" s="10">
        <v>13.61</v>
      </c>
      <c r="AC22" s="10">
        <v>13.5</v>
      </c>
      <c r="AD22" s="10">
        <v>161.94</v>
      </c>
      <c r="AE22" s="10">
        <v>317.83999999999997</v>
      </c>
      <c r="AF22" s="10">
        <v>-773.23</v>
      </c>
      <c r="AG22" s="10">
        <v>-419.55</v>
      </c>
      <c r="AH22" s="10">
        <v>298.33</v>
      </c>
      <c r="AI22" s="10">
        <v>372.48</v>
      </c>
      <c r="AJ22" s="10">
        <v>3654.76</v>
      </c>
      <c r="AK22" s="10">
        <v>7270.89</v>
      </c>
      <c r="AL22" s="10">
        <v>-1317.14</v>
      </c>
      <c r="AM22" s="10">
        <v>-2964.27</v>
      </c>
      <c r="AN22" s="10">
        <v>85</v>
      </c>
      <c r="AO22" s="10">
        <v>92</v>
      </c>
      <c r="AP22" s="10">
        <v>1136</v>
      </c>
      <c r="AQ22" s="10">
        <v>2859</v>
      </c>
      <c r="AR22" s="10">
        <v>8224</v>
      </c>
      <c r="AS22" s="10">
        <v>9198</v>
      </c>
      <c r="AT22" s="10">
        <v>-183265</v>
      </c>
      <c r="AU22" s="10">
        <v>-134658</v>
      </c>
      <c r="AV22" s="10">
        <v>680</v>
      </c>
      <c r="AW22" s="10">
        <v>943</v>
      </c>
      <c r="AX22" s="10">
        <v>493</v>
      </c>
      <c r="AY22" s="10">
        <v>961</v>
      </c>
      <c r="AZ22" s="10">
        <v>895</v>
      </c>
      <c r="BA22" s="10">
        <v>1795</v>
      </c>
      <c r="BB22" s="10">
        <v>971</v>
      </c>
      <c r="BC22" s="10">
        <v>2078</v>
      </c>
      <c r="BD22" s="10">
        <v>9896.73</v>
      </c>
      <c r="BE22" s="10">
        <v>20954.849999999999</v>
      </c>
      <c r="BF22" s="10">
        <v>2497</v>
      </c>
      <c r="BG22" s="10">
        <v>4462</v>
      </c>
      <c r="BH22" s="10">
        <v>3341</v>
      </c>
      <c r="BI22" s="10">
        <v>5968</v>
      </c>
      <c r="BJ22" s="10">
        <v>737</v>
      </c>
      <c r="BK22" s="10">
        <v>879</v>
      </c>
      <c r="BL22" s="63">
        <f t="shared" si="7"/>
        <v>-135839.75999999998</v>
      </c>
      <c r="BM22" s="63">
        <f t="shared" si="8"/>
        <v>-48396.1</v>
      </c>
    </row>
    <row r="23" spans="1:65" s="7" customFormat="1" x14ac:dyDescent="0.25">
      <c r="A23" s="3" t="s">
        <v>229</v>
      </c>
      <c r="B23" s="10">
        <f>B16-B22</f>
        <v>-10808</v>
      </c>
      <c r="C23" s="10">
        <f t="shared" ref="C23:AF23" si="12">C16-C22</f>
        <v>-22627</v>
      </c>
      <c r="D23" s="10">
        <f t="shared" si="12"/>
        <v>-10220</v>
      </c>
      <c r="E23" s="10">
        <f t="shared" si="12"/>
        <v>-22923</v>
      </c>
      <c r="F23" s="10">
        <f t="shared" si="12"/>
        <v>21479</v>
      </c>
      <c r="G23" s="10">
        <f t="shared" si="12"/>
        <v>37379</v>
      </c>
      <c r="H23" s="10">
        <f t="shared" si="12"/>
        <v>56596</v>
      </c>
      <c r="I23" s="10">
        <f t="shared" si="12"/>
        <v>105076</v>
      </c>
      <c r="J23" s="10">
        <f t="shared" si="12"/>
        <v>11315.07</v>
      </c>
      <c r="K23" s="10">
        <f t="shared" si="12"/>
        <v>-7824</v>
      </c>
      <c r="L23" s="10">
        <f t="shared" si="12"/>
        <v>2057</v>
      </c>
      <c r="M23" s="10">
        <f t="shared" si="12"/>
        <v>5784</v>
      </c>
      <c r="N23" s="10">
        <f t="shared" si="12"/>
        <v>-7687</v>
      </c>
      <c r="O23" s="10">
        <f t="shared" si="12"/>
        <v>-5139</v>
      </c>
      <c r="P23" s="10">
        <f t="shared" si="12"/>
        <v>15064.6</v>
      </c>
      <c r="Q23" s="10">
        <f t="shared" si="12"/>
        <v>19207.060000000001</v>
      </c>
      <c r="R23" s="10">
        <f t="shared" ref="R23:S23" si="13">R16-R22</f>
        <v>-2318.4499999999998</v>
      </c>
      <c r="S23" s="10">
        <f t="shared" si="13"/>
        <v>-5324.24</v>
      </c>
      <c r="T23" s="10">
        <f t="shared" si="12"/>
        <v>5074.67</v>
      </c>
      <c r="U23" s="10">
        <f t="shared" si="12"/>
        <v>6683.4800000000005</v>
      </c>
      <c r="V23" s="10">
        <f t="shared" si="12"/>
        <v>23970</v>
      </c>
      <c r="W23" s="10">
        <f t="shared" si="12"/>
        <v>20419</v>
      </c>
      <c r="X23" s="10">
        <f t="shared" si="12"/>
        <v>59387</v>
      </c>
      <c r="Y23" s="10">
        <f t="shared" si="12"/>
        <v>85213</v>
      </c>
      <c r="Z23" s="10">
        <f t="shared" si="12"/>
        <v>-5782</v>
      </c>
      <c r="AA23" s="10">
        <f t="shared" si="12"/>
        <v>847</v>
      </c>
      <c r="AB23" s="10">
        <f t="shared" si="12"/>
        <v>-1578.7099999999998</v>
      </c>
      <c r="AC23" s="10">
        <f t="shared" si="12"/>
        <v>-2052.42</v>
      </c>
      <c r="AD23" s="10">
        <f t="shared" si="12"/>
        <v>2122.2799999999997</v>
      </c>
      <c r="AE23" s="10">
        <f t="shared" si="12"/>
        <v>4705.54</v>
      </c>
      <c r="AF23" s="10">
        <f t="shared" si="12"/>
        <v>968.95</v>
      </c>
      <c r="AG23" s="10">
        <f t="shared" ref="AG23:BK23" si="14">AG16-AG22</f>
        <v>2542.25</v>
      </c>
      <c r="AH23" s="10">
        <f t="shared" si="14"/>
        <v>-7535.23</v>
      </c>
      <c r="AI23" s="10">
        <f t="shared" si="14"/>
        <v>-17428.739999999998</v>
      </c>
      <c r="AJ23" s="10">
        <f t="shared" si="14"/>
        <v>1850.0199999999995</v>
      </c>
      <c r="AK23" s="10">
        <f t="shared" si="14"/>
        <v>-10488.6</v>
      </c>
      <c r="AL23" s="10">
        <f t="shared" si="14"/>
        <v>2881.59</v>
      </c>
      <c r="AM23" s="10">
        <f t="shared" si="14"/>
        <v>-58097.450000000004</v>
      </c>
      <c r="AN23" s="10">
        <f t="shared" si="14"/>
        <v>-2693</v>
      </c>
      <c r="AO23" s="10">
        <f t="shared" si="14"/>
        <v>-1577</v>
      </c>
      <c r="AP23" s="10">
        <f t="shared" si="14"/>
        <v>-2333</v>
      </c>
      <c r="AQ23" s="10">
        <f t="shared" si="14"/>
        <v>-5692</v>
      </c>
      <c r="AR23" s="10">
        <f t="shared" si="14"/>
        <v>11746</v>
      </c>
      <c r="AS23" s="10">
        <f t="shared" si="14"/>
        <v>23882</v>
      </c>
      <c r="AT23" s="10">
        <f t="shared" si="14"/>
        <v>466126</v>
      </c>
      <c r="AU23" s="10">
        <f t="shared" si="14"/>
        <v>1274685</v>
      </c>
      <c r="AV23" s="10">
        <f t="shared" si="14"/>
        <v>6984</v>
      </c>
      <c r="AW23" s="10">
        <f t="shared" si="14"/>
        <v>17155</v>
      </c>
      <c r="AX23" s="10">
        <f t="shared" si="14"/>
        <v>18015</v>
      </c>
      <c r="AY23" s="10">
        <f t="shared" si="14"/>
        <v>36767</v>
      </c>
      <c r="AZ23" s="10">
        <f t="shared" si="14"/>
        <v>-23234</v>
      </c>
      <c r="BA23" s="10">
        <f t="shared" si="14"/>
        <v>-51263</v>
      </c>
      <c r="BB23" s="10">
        <f t="shared" si="14"/>
        <v>9989</v>
      </c>
      <c r="BC23" s="10">
        <f t="shared" si="14"/>
        <v>40265</v>
      </c>
      <c r="BD23" s="10">
        <f t="shared" si="14"/>
        <v>12930.850000000002</v>
      </c>
      <c r="BE23" s="10">
        <f t="shared" si="14"/>
        <v>23092.58</v>
      </c>
      <c r="BF23" s="10">
        <f t="shared" si="14"/>
        <v>-70880</v>
      </c>
      <c r="BG23" s="10">
        <f t="shared" si="14"/>
        <v>-130537</v>
      </c>
      <c r="BH23" s="10">
        <f t="shared" si="14"/>
        <v>-35307</v>
      </c>
      <c r="BI23" s="10">
        <f t="shared" si="14"/>
        <v>-96649</v>
      </c>
      <c r="BJ23" s="10">
        <f t="shared" si="14"/>
        <v>2462</v>
      </c>
      <c r="BK23" s="10">
        <f t="shared" si="14"/>
        <v>7491</v>
      </c>
      <c r="BL23" s="63">
        <f t="shared" si="7"/>
        <v>550642.64</v>
      </c>
      <c r="BM23" s="63">
        <f t="shared" si="8"/>
        <v>1273571.46</v>
      </c>
    </row>
    <row r="24" spans="1:65" x14ac:dyDescent="0.25">
      <c r="A24" s="2" t="s">
        <v>231</v>
      </c>
      <c r="B24" s="9"/>
      <c r="C24" s="9"/>
      <c r="D24" s="9"/>
      <c r="E24" s="9"/>
      <c r="F24" s="92">
        <v>6863</v>
      </c>
      <c r="G24" s="92">
        <v>9954</v>
      </c>
      <c r="H24" s="92">
        <v>14082</v>
      </c>
      <c r="I24" s="92">
        <v>26325</v>
      </c>
      <c r="J24" s="92">
        <v>2837.38</v>
      </c>
      <c r="K24" s="76">
        <v>-2075.0100000000002</v>
      </c>
      <c r="L24" s="92">
        <v>508</v>
      </c>
      <c r="M24" s="92">
        <v>1423</v>
      </c>
      <c r="N24" s="9"/>
      <c r="O24" s="9"/>
      <c r="P24" s="9">
        <f>-115.63+1225+3.78</f>
        <v>1113.1499999999999</v>
      </c>
      <c r="Q24" s="9">
        <f>-115.63+1500+7.86</f>
        <v>1392.2299999999998</v>
      </c>
      <c r="R24" s="92"/>
      <c r="S24" s="92"/>
      <c r="T24" s="92">
        <f>155.77+1228.29</f>
        <v>1384.06</v>
      </c>
      <c r="U24" s="76">
        <f>1649.86+142.97</f>
        <v>1792.83</v>
      </c>
      <c r="V24" s="9">
        <f>4749+393</f>
        <v>5142</v>
      </c>
      <c r="W24" s="92">
        <f>4749+393</f>
        <v>5142</v>
      </c>
      <c r="X24" s="9">
        <f>16204-1484</f>
        <v>14720</v>
      </c>
      <c r="Y24" s="9">
        <f>23245-2129</f>
        <v>21116</v>
      </c>
      <c r="Z24" s="9">
        <f>-1604-339</f>
        <v>-1943</v>
      </c>
      <c r="AA24" s="9">
        <v>-362</v>
      </c>
      <c r="AB24" s="9"/>
      <c r="AC24" s="9"/>
      <c r="AD24" s="9"/>
      <c r="AE24" s="9"/>
      <c r="AF24" s="92">
        <v>243.87</v>
      </c>
      <c r="AG24" s="92">
        <v>639.84</v>
      </c>
      <c r="AH24" s="9"/>
      <c r="AI24" s="9"/>
      <c r="AJ24" s="76"/>
      <c r="AK24" s="76"/>
      <c r="AL24" s="9"/>
      <c r="AM24" s="9"/>
      <c r="AN24" s="9"/>
      <c r="AO24" s="9"/>
      <c r="AP24" s="9">
        <v>-9</v>
      </c>
      <c r="AQ24" s="9">
        <v>-17</v>
      </c>
      <c r="AR24" s="9">
        <f>2276+2136</f>
        <v>4412</v>
      </c>
      <c r="AS24" s="76">
        <f>4628+4342</f>
        <v>8970</v>
      </c>
      <c r="AT24" s="76">
        <v>120963</v>
      </c>
      <c r="AU24" s="92">
        <v>322994</v>
      </c>
      <c r="AV24" s="9">
        <f>1852+57</f>
        <v>1909</v>
      </c>
      <c r="AW24" s="9">
        <f>4692-193</f>
        <v>4499</v>
      </c>
      <c r="AX24" s="92">
        <v>4251</v>
      </c>
      <c r="AY24" s="92">
        <v>8678</v>
      </c>
      <c r="AZ24" s="9">
        <v>-6185</v>
      </c>
      <c r="BA24" s="9">
        <v>-13237</v>
      </c>
      <c r="BB24" s="9">
        <f>5096-2686</f>
        <v>2410</v>
      </c>
      <c r="BC24" s="9">
        <f>12381-2429</f>
        <v>9952</v>
      </c>
      <c r="BD24" s="9">
        <v>188.32</v>
      </c>
      <c r="BE24" s="9">
        <v>1427.59</v>
      </c>
      <c r="BF24" s="92">
        <v>-3171</v>
      </c>
      <c r="BG24" s="92">
        <v>-3171</v>
      </c>
      <c r="BH24" s="9"/>
      <c r="BI24" s="9"/>
      <c r="BJ24" s="9">
        <f>841-212</f>
        <v>629</v>
      </c>
      <c r="BK24" s="9">
        <f>2179-202</f>
        <v>1977</v>
      </c>
      <c r="BL24" s="67">
        <f t="shared" si="7"/>
        <v>170347.78000000003</v>
      </c>
      <c r="BM24" s="67">
        <f t="shared" si="8"/>
        <v>407420.48000000004</v>
      </c>
    </row>
    <row r="25" spans="1:65" s="7" customFormat="1" x14ac:dyDescent="0.25">
      <c r="A25" s="3" t="s">
        <v>230</v>
      </c>
      <c r="B25" s="10">
        <f>B23-B24</f>
        <v>-10808</v>
      </c>
      <c r="C25" s="10">
        <f t="shared" ref="C25:AF25" si="15">C23-C24</f>
        <v>-22627</v>
      </c>
      <c r="D25" s="10">
        <f t="shared" si="15"/>
        <v>-10220</v>
      </c>
      <c r="E25" s="10">
        <f t="shared" si="15"/>
        <v>-22923</v>
      </c>
      <c r="F25" s="10">
        <f t="shared" si="15"/>
        <v>14616</v>
      </c>
      <c r="G25" s="10">
        <f t="shared" si="15"/>
        <v>27425</v>
      </c>
      <c r="H25" s="10">
        <f t="shared" si="15"/>
        <v>42514</v>
      </c>
      <c r="I25" s="10">
        <f t="shared" si="15"/>
        <v>78751</v>
      </c>
      <c r="J25" s="10">
        <f t="shared" si="15"/>
        <v>8477.6899999999987</v>
      </c>
      <c r="K25" s="10">
        <f t="shared" si="15"/>
        <v>-5748.99</v>
      </c>
      <c r="L25" s="10">
        <f t="shared" si="15"/>
        <v>1549</v>
      </c>
      <c r="M25" s="10">
        <f t="shared" si="15"/>
        <v>4361</v>
      </c>
      <c r="N25" s="10">
        <f t="shared" si="15"/>
        <v>-7687</v>
      </c>
      <c r="O25" s="10">
        <f t="shared" si="15"/>
        <v>-5139</v>
      </c>
      <c r="P25" s="10">
        <f t="shared" si="15"/>
        <v>13951.45</v>
      </c>
      <c r="Q25" s="10">
        <f t="shared" si="15"/>
        <v>17814.830000000002</v>
      </c>
      <c r="R25" s="10">
        <f t="shared" ref="R25:S25" si="16">R23-R24</f>
        <v>-2318.4499999999998</v>
      </c>
      <c r="S25" s="10">
        <f t="shared" si="16"/>
        <v>-5324.24</v>
      </c>
      <c r="T25" s="10">
        <f t="shared" si="15"/>
        <v>3690.61</v>
      </c>
      <c r="U25" s="10">
        <f t="shared" si="15"/>
        <v>4890.6500000000005</v>
      </c>
      <c r="V25" s="10">
        <f t="shared" si="15"/>
        <v>18828</v>
      </c>
      <c r="W25" s="10">
        <f t="shared" si="15"/>
        <v>15277</v>
      </c>
      <c r="X25" s="10">
        <f t="shared" si="15"/>
        <v>44667</v>
      </c>
      <c r="Y25" s="10">
        <f t="shared" si="15"/>
        <v>64097</v>
      </c>
      <c r="Z25" s="10">
        <f t="shared" si="15"/>
        <v>-3839</v>
      </c>
      <c r="AA25" s="10">
        <f t="shared" si="15"/>
        <v>1209</v>
      </c>
      <c r="AB25" s="10">
        <f t="shared" si="15"/>
        <v>-1578.7099999999998</v>
      </c>
      <c r="AC25" s="10">
        <f t="shared" si="15"/>
        <v>-2052.42</v>
      </c>
      <c r="AD25" s="10">
        <f t="shared" si="15"/>
        <v>2122.2799999999997</v>
      </c>
      <c r="AE25" s="10">
        <f t="shared" si="15"/>
        <v>4705.54</v>
      </c>
      <c r="AF25" s="10">
        <f t="shared" si="15"/>
        <v>725.08</v>
      </c>
      <c r="AG25" s="10">
        <f t="shared" ref="AG25:BK25" si="17">AG23-AG24</f>
        <v>1902.4099999999999</v>
      </c>
      <c r="AH25" s="10">
        <f t="shared" si="17"/>
        <v>-7535.23</v>
      </c>
      <c r="AI25" s="10">
        <f t="shared" si="17"/>
        <v>-17428.739999999998</v>
      </c>
      <c r="AJ25" s="10">
        <f t="shared" si="17"/>
        <v>1850.0199999999995</v>
      </c>
      <c r="AK25" s="10">
        <f t="shared" si="17"/>
        <v>-10488.6</v>
      </c>
      <c r="AL25" s="10">
        <f t="shared" si="17"/>
        <v>2881.59</v>
      </c>
      <c r="AM25" s="10">
        <f t="shared" si="17"/>
        <v>-58097.450000000004</v>
      </c>
      <c r="AN25" s="10">
        <f t="shared" si="17"/>
        <v>-2693</v>
      </c>
      <c r="AO25" s="10">
        <f t="shared" si="17"/>
        <v>-1577</v>
      </c>
      <c r="AP25" s="10">
        <f t="shared" si="17"/>
        <v>-2324</v>
      </c>
      <c r="AQ25" s="10">
        <f t="shared" si="17"/>
        <v>-5675</v>
      </c>
      <c r="AR25" s="10">
        <f t="shared" si="17"/>
        <v>7334</v>
      </c>
      <c r="AS25" s="10">
        <f t="shared" si="17"/>
        <v>14912</v>
      </c>
      <c r="AT25" s="10">
        <f t="shared" si="17"/>
        <v>345163</v>
      </c>
      <c r="AU25" s="10">
        <f t="shared" si="17"/>
        <v>951691</v>
      </c>
      <c r="AV25" s="10">
        <f t="shared" si="17"/>
        <v>5075</v>
      </c>
      <c r="AW25" s="10">
        <f t="shared" si="17"/>
        <v>12656</v>
      </c>
      <c r="AX25" s="10">
        <f t="shared" si="17"/>
        <v>13764</v>
      </c>
      <c r="AY25" s="10">
        <f t="shared" si="17"/>
        <v>28089</v>
      </c>
      <c r="AZ25" s="10">
        <f t="shared" si="17"/>
        <v>-17049</v>
      </c>
      <c r="BA25" s="10">
        <f t="shared" si="17"/>
        <v>-38026</v>
      </c>
      <c r="BB25" s="10">
        <f t="shared" si="17"/>
        <v>7579</v>
      </c>
      <c r="BC25" s="10">
        <f t="shared" si="17"/>
        <v>30313</v>
      </c>
      <c r="BD25" s="10">
        <f t="shared" si="17"/>
        <v>12742.530000000002</v>
      </c>
      <c r="BE25" s="10">
        <f t="shared" si="17"/>
        <v>21664.99</v>
      </c>
      <c r="BF25" s="10">
        <f t="shared" si="17"/>
        <v>-67709</v>
      </c>
      <c r="BG25" s="10">
        <f t="shared" si="17"/>
        <v>-127366</v>
      </c>
      <c r="BH25" s="10">
        <f t="shared" si="17"/>
        <v>-35307</v>
      </c>
      <c r="BI25" s="10">
        <f t="shared" si="17"/>
        <v>-96649</v>
      </c>
      <c r="BJ25" s="10">
        <f t="shared" si="17"/>
        <v>1833</v>
      </c>
      <c r="BK25" s="10">
        <f t="shared" si="17"/>
        <v>5514</v>
      </c>
      <c r="BL25" s="63">
        <f t="shared" si="7"/>
        <v>380294.86000000004</v>
      </c>
      <c r="BM25" s="63">
        <f t="shared" si="8"/>
        <v>866150.98</v>
      </c>
    </row>
  </sheetData>
  <mergeCells count="32">
    <mergeCell ref="B3:C3"/>
    <mergeCell ref="D3:E3"/>
    <mergeCell ref="F3:G3"/>
    <mergeCell ref="H3:I3"/>
    <mergeCell ref="V3:W3"/>
    <mergeCell ref="X3:Y3"/>
    <mergeCell ref="Z3:AA3"/>
    <mergeCell ref="AB3:AC3"/>
    <mergeCell ref="J3:K3"/>
    <mergeCell ref="L3:M3"/>
    <mergeCell ref="N3:O3"/>
    <mergeCell ref="P3:Q3"/>
    <mergeCell ref="T3:U3"/>
    <mergeCell ref="R3:S3"/>
    <mergeCell ref="AD3:AE3"/>
    <mergeCell ref="AF3:AG3"/>
    <mergeCell ref="AH3:AI3"/>
    <mergeCell ref="AJ3:AK3"/>
    <mergeCell ref="AL3:AM3"/>
    <mergeCell ref="AN3:AO3"/>
    <mergeCell ref="AP3:AQ3"/>
    <mergeCell ref="AZ3:BA3"/>
    <mergeCell ref="BB3:BC3"/>
    <mergeCell ref="BL3:BM3"/>
    <mergeCell ref="BF3:BG3"/>
    <mergeCell ref="BH3:BI3"/>
    <mergeCell ref="BJ3:BK3"/>
    <mergeCell ref="BD3:BE3"/>
    <mergeCell ref="AT3:AU3"/>
    <mergeCell ref="AV3:AW3"/>
    <mergeCell ref="AX3:AY3"/>
    <mergeCell ref="AR3:AS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33.140625" style="71" customWidth="1"/>
    <col min="2" max="32" width="16" style="71" customWidth="1"/>
    <col min="33" max="16384" width="9.140625" style="71"/>
  </cols>
  <sheetData>
    <row r="1" spans="1:32" ht="18.75" x14ac:dyDescent="0.3">
      <c r="A1" s="12" t="s">
        <v>264</v>
      </c>
    </row>
    <row r="2" spans="1:32" x14ac:dyDescent="0.25">
      <c r="A2" s="13" t="s">
        <v>98</v>
      </c>
    </row>
    <row r="3" spans="1:32" x14ac:dyDescent="0.25">
      <c r="A3" s="27" t="s">
        <v>182</v>
      </c>
    </row>
    <row r="4" spans="1:32" x14ac:dyDescent="0.25">
      <c r="A4" s="1" t="s">
        <v>0</v>
      </c>
      <c r="B4" s="109" t="s">
        <v>1</v>
      </c>
      <c r="C4" s="109" t="s">
        <v>233</v>
      </c>
      <c r="D4" s="109" t="s">
        <v>2</v>
      </c>
      <c r="E4" s="109" t="s">
        <v>3</v>
      </c>
      <c r="F4" s="109" t="s">
        <v>242</v>
      </c>
      <c r="G4" s="109" t="s">
        <v>234</v>
      </c>
      <c r="H4" s="109" t="s">
        <v>254</v>
      </c>
      <c r="I4" s="109" t="s">
        <v>5</v>
      </c>
      <c r="J4" s="109" t="s">
        <v>4</v>
      </c>
      <c r="K4" s="109" t="s">
        <v>6</v>
      </c>
      <c r="L4" s="109" t="s">
        <v>7</v>
      </c>
      <c r="M4" s="109" t="s">
        <v>8</v>
      </c>
      <c r="N4" s="109" t="s">
        <v>9</v>
      </c>
      <c r="O4" s="109" t="s">
        <v>241</v>
      </c>
      <c r="P4" s="109" t="s">
        <v>10</v>
      </c>
      <c r="Q4" s="109" t="s">
        <v>11</v>
      </c>
      <c r="R4" s="109" t="s">
        <v>235</v>
      </c>
      <c r="S4" s="109" t="s">
        <v>253</v>
      </c>
      <c r="T4" s="109" t="s">
        <v>12</v>
      </c>
      <c r="U4" s="109" t="s">
        <v>236</v>
      </c>
      <c r="V4" s="109" t="s">
        <v>237</v>
      </c>
      <c r="W4" s="109" t="s">
        <v>240</v>
      </c>
      <c r="X4" s="109" t="s">
        <v>13</v>
      </c>
      <c r="Y4" s="109" t="s">
        <v>14</v>
      </c>
      <c r="Z4" s="109" t="s">
        <v>15</v>
      </c>
      <c r="AA4" s="109" t="s">
        <v>16</v>
      </c>
      <c r="AB4" s="109" t="s">
        <v>17</v>
      </c>
      <c r="AC4" s="108" t="s">
        <v>238</v>
      </c>
      <c r="AD4" s="108" t="s">
        <v>239</v>
      </c>
      <c r="AE4" s="108" t="s">
        <v>18</v>
      </c>
      <c r="AF4" s="109" t="s">
        <v>19</v>
      </c>
    </row>
    <row r="5" spans="1:32" x14ac:dyDescent="0.25">
      <c r="A5" s="92" t="s">
        <v>192</v>
      </c>
      <c r="B5" s="92">
        <v>2</v>
      </c>
      <c r="C5" s="92"/>
      <c r="D5" s="92"/>
      <c r="E5" s="92"/>
      <c r="F5" s="92"/>
      <c r="G5" s="92"/>
      <c r="H5" s="92">
        <v>2162</v>
      </c>
      <c r="I5" s="92"/>
      <c r="J5" s="92">
        <v>131.66</v>
      </c>
      <c r="K5" s="92">
        <v>7649.81</v>
      </c>
      <c r="L5" s="92">
        <v>14156</v>
      </c>
      <c r="M5" s="92"/>
      <c r="N5" s="92">
        <v>4695</v>
      </c>
      <c r="O5">
        <v>439</v>
      </c>
      <c r="P5" s="92"/>
      <c r="Q5" s="92"/>
      <c r="R5" s="92"/>
      <c r="S5" s="92"/>
      <c r="T5" s="92">
        <v>54112.07</v>
      </c>
      <c r="U5" s="92">
        <v>450</v>
      </c>
      <c r="V5" s="92">
        <v>58</v>
      </c>
      <c r="W5" s="92"/>
      <c r="X5" s="92"/>
      <c r="Y5" s="92">
        <v>16857</v>
      </c>
      <c r="Z5" s="92">
        <v>1063</v>
      </c>
      <c r="AA5" s="92"/>
      <c r="AB5" s="92"/>
      <c r="AC5" s="92"/>
      <c r="AD5" s="140">
        <v>44208</v>
      </c>
      <c r="AE5" s="92">
        <v>53132</v>
      </c>
      <c r="AF5" s="92">
        <v>2802</v>
      </c>
    </row>
    <row r="6" spans="1:32" x14ac:dyDescent="0.25">
      <c r="A6" s="92" t="s">
        <v>26</v>
      </c>
      <c r="B6" s="92">
        <v>1</v>
      </c>
      <c r="C6" s="92"/>
      <c r="D6" s="92"/>
      <c r="E6" s="92"/>
      <c r="F6" s="92"/>
      <c r="G6" s="92"/>
      <c r="H6" s="92">
        <v>1979</v>
      </c>
      <c r="I6" s="92"/>
      <c r="J6" s="92">
        <v>139.04</v>
      </c>
      <c r="K6" s="92">
        <v>7996.46</v>
      </c>
      <c r="L6" s="92">
        <v>11011</v>
      </c>
      <c r="M6" s="92"/>
      <c r="N6" s="92">
        <v>4332</v>
      </c>
      <c r="O6" s="92">
        <v>-55</v>
      </c>
      <c r="P6" s="92"/>
      <c r="Q6" s="92"/>
      <c r="R6" s="92"/>
      <c r="S6" s="92"/>
      <c r="T6" s="92">
        <v>46113.07</v>
      </c>
      <c r="U6" s="92">
        <v>43</v>
      </c>
      <c r="V6" s="92">
        <v>222</v>
      </c>
      <c r="W6" s="92"/>
      <c r="X6" s="92"/>
      <c r="Y6" s="92">
        <v>14434</v>
      </c>
      <c r="Z6" s="92">
        <v>452</v>
      </c>
      <c r="AA6" s="92"/>
      <c r="AB6" s="92"/>
      <c r="AC6" s="92"/>
      <c r="AD6" s="140">
        <v>23883</v>
      </c>
      <c r="AE6" s="92">
        <v>40746</v>
      </c>
      <c r="AF6" s="92">
        <v>1045</v>
      </c>
    </row>
    <row r="7" spans="1:32" x14ac:dyDescent="0.25">
      <c r="A7" s="92" t="s">
        <v>267</v>
      </c>
      <c r="B7" s="92"/>
      <c r="C7" s="92"/>
      <c r="D7" s="92"/>
      <c r="E7" s="92"/>
      <c r="F7" s="92"/>
      <c r="G7" s="92"/>
      <c r="H7" s="92">
        <v>-1592</v>
      </c>
      <c r="I7" s="92"/>
      <c r="J7" s="92">
        <v>-9.52</v>
      </c>
      <c r="K7" s="92">
        <v>-2179.58</v>
      </c>
      <c r="L7" s="92">
        <v>-6241</v>
      </c>
      <c r="M7" s="92"/>
      <c r="N7" s="92">
        <v>-3289</v>
      </c>
      <c r="O7" s="92">
        <v>-93</v>
      </c>
      <c r="P7" s="92"/>
      <c r="Q7" s="92"/>
      <c r="R7" s="92"/>
      <c r="S7" s="92"/>
      <c r="T7" s="92">
        <v>4733.32</v>
      </c>
      <c r="U7" s="92">
        <v>87</v>
      </c>
      <c r="V7" s="92">
        <v>-25</v>
      </c>
      <c r="W7" s="92"/>
      <c r="X7" s="92"/>
      <c r="Y7" s="92">
        <v>-12704</v>
      </c>
      <c r="Z7" s="92">
        <v>178</v>
      </c>
      <c r="AA7" s="92"/>
      <c r="AB7" s="92"/>
      <c r="AC7" s="92"/>
      <c r="AD7" s="140">
        <v>4452</v>
      </c>
      <c r="AE7" s="92">
        <v>6322</v>
      </c>
      <c r="AF7" s="92">
        <v>223</v>
      </c>
    </row>
    <row r="8" spans="1:32" x14ac:dyDescent="0.25">
      <c r="A8" s="92" t="s">
        <v>268</v>
      </c>
      <c r="B8" s="92">
        <v>1</v>
      </c>
      <c r="C8" s="92"/>
      <c r="D8" s="92"/>
      <c r="E8" s="92"/>
      <c r="F8" s="92"/>
      <c r="G8" s="92"/>
      <c r="H8" s="92">
        <v>5365</v>
      </c>
      <c r="I8" s="92"/>
      <c r="J8" s="92">
        <v>111.03</v>
      </c>
      <c r="K8" s="92">
        <v>5588.65</v>
      </c>
      <c r="L8" s="92">
        <v>12291</v>
      </c>
      <c r="M8" s="92"/>
      <c r="N8" s="92">
        <v>1382</v>
      </c>
      <c r="O8">
        <v>471</v>
      </c>
      <c r="P8" s="92"/>
      <c r="Q8" s="92"/>
      <c r="R8" s="92"/>
      <c r="S8" s="92"/>
      <c r="T8" s="92">
        <v>12438.06</v>
      </c>
      <c r="U8" s="92">
        <v>554</v>
      </c>
      <c r="V8" s="92">
        <v>495</v>
      </c>
      <c r="W8" s="92"/>
      <c r="X8" s="92"/>
      <c r="Y8" s="92">
        <v>4217</v>
      </c>
      <c r="Z8" s="92">
        <v>365</v>
      </c>
      <c r="AA8" s="92"/>
      <c r="AB8" s="92"/>
      <c r="AC8" s="92"/>
      <c r="AD8" s="140">
        <v>20041</v>
      </c>
      <c r="AE8" s="92">
        <v>26765</v>
      </c>
      <c r="AF8" s="92">
        <v>830.84</v>
      </c>
    </row>
    <row r="9" spans="1:32" x14ac:dyDescent="0.25">
      <c r="A9" s="92" t="s">
        <v>269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141"/>
      <c r="AE9" s="92"/>
      <c r="AF9" s="92"/>
    </row>
    <row r="10" spans="1:32" x14ac:dyDescent="0.25">
      <c r="A10" s="92" t="s">
        <v>265</v>
      </c>
      <c r="B10" s="92">
        <f t="shared" ref="B10:K10" si="0">B5-B6-B7-B8-B9</f>
        <v>0</v>
      </c>
      <c r="C10" s="92"/>
      <c r="D10" s="92"/>
      <c r="E10" s="92"/>
      <c r="F10" s="92"/>
      <c r="G10" s="92"/>
      <c r="H10" s="92">
        <f t="shared" si="0"/>
        <v>-3590</v>
      </c>
      <c r="I10" s="92"/>
      <c r="J10" s="92">
        <f t="shared" si="0"/>
        <v>-108.89</v>
      </c>
      <c r="K10" s="92">
        <f t="shared" si="0"/>
        <v>-3755.7199999999993</v>
      </c>
      <c r="L10" s="92">
        <f>L5-L6-L7-L8-L9</f>
        <v>-2905</v>
      </c>
      <c r="M10" s="92"/>
      <c r="N10" s="92">
        <f t="shared" ref="N10:AF10" si="1">N5-N6-N7-N8-N9</f>
        <v>2270</v>
      </c>
      <c r="O10" s="92">
        <f t="shared" si="1"/>
        <v>116</v>
      </c>
      <c r="P10" s="92"/>
      <c r="Q10" s="92"/>
      <c r="R10" s="92"/>
      <c r="S10" s="92"/>
      <c r="T10" s="92">
        <f t="shared" si="1"/>
        <v>-9172.3799999999992</v>
      </c>
      <c r="U10" s="92">
        <f t="shared" si="1"/>
        <v>-234</v>
      </c>
      <c r="V10" s="92">
        <f t="shared" si="1"/>
        <v>-634</v>
      </c>
      <c r="W10" s="92">
        <f t="shared" si="1"/>
        <v>0</v>
      </c>
      <c r="X10" s="92">
        <f t="shared" si="1"/>
        <v>0</v>
      </c>
      <c r="Y10" s="92">
        <f t="shared" si="1"/>
        <v>10910</v>
      </c>
      <c r="Z10" s="92">
        <f t="shared" si="1"/>
        <v>68</v>
      </c>
      <c r="AA10" s="92"/>
      <c r="AB10" s="92">
        <f t="shared" si="1"/>
        <v>0</v>
      </c>
      <c r="AC10" s="92">
        <f t="shared" si="1"/>
        <v>0</v>
      </c>
      <c r="AD10" s="92">
        <f t="shared" si="1"/>
        <v>-4168</v>
      </c>
      <c r="AE10" s="92">
        <f t="shared" si="1"/>
        <v>-20701</v>
      </c>
      <c r="AF10" s="92">
        <f t="shared" si="1"/>
        <v>703.16</v>
      </c>
    </row>
    <row r="11" spans="1:32" s="38" customFormat="1" x14ac:dyDescent="0.25">
      <c r="A11" s="91" t="s">
        <v>266</v>
      </c>
      <c r="B11" s="91">
        <f t="shared" ref="B11:K11" si="2">B10*100/B5</f>
        <v>0</v>
      </c>
      <c r="C11" s="91"/>
      <c r="D11" s="91"/>
      <c r="E11" s="91"/>
      <c r="F11" s="91"/>
      <c r="G11" s="91"/>
      <c r="H11" s="91">
        <f t="shared" si="2"/>
        <v>-166.049953746531</v>
      </c>
      <c r="I11" s="91"/>
      <c r="J11" s="91">
        <f t="shared" si="2"/>
        <v>-82.705453440680543</v>
      </c>
      <c r="K11" s="91">
        <f t="shared" si="2"/>
        <v>-49.095598452772016</v>
      </c>
      <c r="L11" s="91">
        <f>L10*100/L5</f>
        <v>-20.521333710087596</v>
      </c>
      <c r="M11" s="91"/>
      <c r="N11" s="91">
        <f t="shared" ref="N11:AF11" si="3">N10*100/N5</f>
        <v>48.349307774227903</v>
      </c>
      <c r="O11" s="91">
        <f t="shared" si="3"/>
        <v>26.42369020501139</v>
      </c>
      <c r="P11" s="91"/>
      <c r="Q11" s="91"/>
      <c r="R11" s="91"/>
      <c r="S11" s="91"/>
      <c r="T11" s="91">
        <f t="shared" si="3"/>
        <v>-16.950709887830939</v>
      </c>
      <c r="U11" s="91">
        <f t="shared" si="3"/>
        <v>-52</v>
      </c>
      <c r="V11" s="91">
        <f t="shared" si="3"/>
        <v>-1093.1034482758621</v>
      </c>
      <c r="W11" s="91" t="e">
        <f t="shared" si="3"/>
        <v>#DIV/0!</v>
      </c>
      <c r="X11" s="91" t="e">
        <f t="shared" si="3"/>
        <v>#DIV/0!</v>
      </c>
      <c r="Y11" s="91">
        <f t="shared" si="3"/>
        <v>64.72088746514801</v>
      </c>
      <c r="Z11" s="91">
        <f t="shared" si="3"/>
        <v>6.3969896519285045</v>
      </c>
      <c r="AA11" s="91"/>
      <c r="AB11" s="91" t="e">
        <f t="shared" si="3"/>
        <v>#DIV/0!</v>
      </c>
      <c r="AC11" s="91" t="e">
        <f t="shared" si="3"/>
        <v>#DIV/0!</v>
      </c>
      <c r="AD11" s="91">
        <f t="shared" si="3"/>
        <v>-9.4281577994933041</v>
      </c>
      <c r="AE11" s="91">
        <f t="shared" si="3"/>
        <v>-38.961454490702401</v>
      </c>
      <c r="AF11" s="91">
        <f t="shared" si="3"/>
        <v>25.094932191291935</v>
      </c>
    </row>
    <row r="13" spans="1:32" x14ac:dyDescent="0.25">
      <c r="A13" s="27" t="s">
        <v>183</v>
      </c>
    </row>
    <row r="14" spans="1:32" x14ac:dyDescent="0.25">
      <c r="A14" s="1" t="s">
        <v>0</v>
      </c>
      <c r="B14" s="109" t="s">
        <v>1</v>
      </c>
      <c r="C14" s="109" t="s">
        <v>233</v>
      </c>
      <c r="D14" s="109" t="s">
        <v>2</v>
      </c>
      <c r="E14" s="109" t="s">
        <v>3</v>
      </c>
      <c r="F14" s="109" t="s">
        <v>242</v>
      </c>
      <c r="G14" s="109" t="s">
        <v>234</v>
      </c>
      <c r="H14" s="109" t="s">
        <v>254</v>
      </c>
      <c r="I14" s="109" t="s">
        <v>5</v>
      </c>
      <c r="J14" s="109" t="s">
        <v>4</v>
      </c>
      <c r="K14" s="109" t="s">
        <v>6</v>
      </c>
      <c r="L14" s="109" t="s">
        <v>7</v>
      </c>
      <c r="M14" s="109" t="s">
        <v>8</v>
      </c>
      <c r="N14" s="109" t="s">
        <v>9</v>
      </c>
      <c r="O14" s="109" t="s">
        <v>241</v>
      </c>
      <c r="P14" s="109" t="s">
        <v>10</v>
      </c>
      <c r="Q14" s="109" t="s">
        <v>11</v>
      </c>
      <c r="R14" s="109" t="s">
        <v>235</v>
      </c>
      <c r="S14" s="109" t="s">
        <v>253</v>
      </c>
      <c r="T14" s="109" t="s">
        <v>12</v>
      </c>
      <c r="U14" s="109" t="s">
        <v>236</v>
      </c>
      <c r="V14" s="109" t="s">
        <v>237</v>
      </c>
      <c r="W14" s="109" t="s">
        <v>240</v>
      </c>
      <c r="X14" s="109" t="s">
        <v>13</v>
      </c>
      <c r="Y14" s="109" t="s">
        <v>14</v>
      </c>
      <c r="Z14" s="109" t="s">
        <v>15</v>
      </c>
      <c r="AA14" s="109" t="s">
        <v>16</v>
      </c>
      <c r="AB14" s="109" t="s">
        <v>17</v>
      </c>
      <c r="AC14" s="108" t="s">
        <v>238</v>
      </c>
      <c r="AD14" s="108" t="s">
        <v>239</v>
      </c>
      <c r="AE14" s="108" t="s">
        <v>18</v>
      </c>
      <c r="AF14" s="109" t="s">
        <v>19</v>
      </c>
    </row>
    <row r="15" spans="1:32" x14ac:dyDescent="0.25">
      <c r="A15" s="92" t="s">
        <v>192</v>
      </c>
      <c r="B15" s="92"/>
      <c r="C15" s="92"/>
      <c r="D15" s="92"/>
      <c r="E15" s="92"/>
      <c r="F15" s="92"/>
      <c r="G15" s="92"/>
      <c r="H15" s="92">
        <v>46</v>
      </c>
      <c r="I15" s="92"/>
      <c r="J15" s="92">
        <v>24.36</v>
      </c>
      <c r="K15" s="92">
        <v>3092.97</v>
      </c>
      <c r="L15" s="92">
        <v>5767</v>
      </c>
      <c r="M15" s="92"/>
      <c r="N15" s="92">
        <v>4842</v>
      </c>
      <c r="O15" s="92">
        <v>2</v>
      </c>
      <c r="P15" s="92"/>
      <c r="Q15" s="92"/>
      <c r="R15" s="92"/>
      <c r="S15" s="92"/>
      <c r="T15" s="92">
        <v>6260.6</v>
      </c>
      <c r="U15" s="92"/>
      <c r="V15" s="92">
        <v>1</v>
      </c>
      <c r="W15" s="92"/>
      <c r="X15" s="92"/>
      <c r="Y15" s="92">
        <v>2000</v>
      </c>
      <c r="Z15" s="92">
        <v>38</v>
      </c>
      <c r="AA15" s="92"/>
      <c r="AB15" s="92"/>
      <c r="AC15" s="92"/>
      <c r="AD15" s="92">
        <v>10828</v>
      </c>
      <c r="AE15" s="92">
        <v>9870</v>
      </c>
      <c r="AF15" s="92">
        <v>245</v>
      </c>
    </row>
    <row r="16" spans="1:32" x14ac:dyDescent="0.25">
      <c r="A16" s="92" t="s">
        <v>26</v>
      </c>
      <c r="B16" s="92"/>
      <c r="C16" s="92"/>
      <c r="D16" s="92"/>
      <c r="E16" s="92"/>
      <c r="F16" s="92"/>
      <c r="G16" s="92"/>
      <c r="H16" s="92">
        <v>52</v>
      </c>
      <c r="I16" s="92"/>
      <c r="J16" s="92">
        <v>47.97</v>
      </c>
      <c r="K16" s="92">
        <v>1313.69</v>
      </c>
      <c r="L16" s="92">
        <v>5067</v>
      </c>
      <c r="M16" s="92"/>
      <c r="N16" s="92">
        <v>5283</v>
      </c>
      <c r="O16" s="92">
        <v>3</v>
      </c>
      <c r="P16" s="92"/>
      <c r="Q16" s="92"/>
      <c r="R16" s="92"/>
      <c r="S16" s="92"/>
      <c r="T16" s="92">
        <v>6924.34</v>
      </c>
      <c r="U16" s="92"/>
      <c r="V16" s="92">
        <v>1</v>
      </c>
      <c r="W16" s="92"/>
      <c r="X16" s="92"/>
      <c r="Y16" s="92">
        <v>2173</v>
      </c>
      <c r="Z16" s="92">
        <v>15</v>
      </c>
      <c r="AA16" s="92"/>
      <c r="AB16" s="92"/>
      <c r="AC16" s="92"/>
      <c r="AD16" s="92">
        <v>10427</v>
      </c>
      <c r="AE16" s="92">
        <v>10549</v>
      </c>
      <c r="AF16" s="92">
        <v>208</v>
      </c>
    </row>
    <row r="17" spans="1:32" x14ac:dyDescent="0.25">
      <c r="A17" s="92" t="s">
        <v>267</v>
      </c>
      <c r="B17" s="92"/>
      <c r="C17" s="92"/>
      <c r="D17" s="92"/>
      <c r="E17" s="92"/>
      <c r="F17" s="92"/>
      <c r="G17" s="92"/>
      <c r="H17" s="92">
        <v>-206</v>
      </c>
      <c r="I17" s="92"/>
      <c r="J17" s="92">
        <v>2.44</v>
      </c>
      <c r="K17" s="92">
        <v>563.12</v>
      </c>
      <c r="L17" s="92">
        <v>888</v>
      </c>
      <c r="M17" s="92"/>
      <c r="N17" s="92">
        <v>505</v>
      </c>
      <c r="O17" s="92">
        <v>3</v>
      </c>
      <c r="P17" s="92"/>
      <c r="Q17" s="92"/>
      <c r="R17" s="92"/>
      <c r="S17" s="92"/>
      <c r="T17" s="92">
        <v>263.37</v>
      </c>
      <c r="U17" s="92"/>
      <c r="V17" s="92">
        <v>0</v>
      </c>
      <c r="W17" s="92"/>
      <c r="X17" s="92"/>
      <c r="Y17" s="30">
        <v>531</v>
      </c>
      <c r="Z17" s="92">
        <v>2</v>
      </c>
      <c r="AA17" s="92"/>
      <c r="AB17" s="92"/>
      <c r="AC17" s="92"/>
      <c r="AD17" s="92">
        <v>1209</v>
      </c>
      <c r="AE17" s="92">
        <v>1140</v>
      </c>
      <c r="AF17" s="92">
        <v>-85</v>
      </c>
    </row>
    <row r="18" spans="1:32" x14ac:dyDescent="0.25">
      <c r="A18" s="92" t="s">
        <v>268</v>
      </c>
      <c r="B18" s="92"/>
      <c r="C18" s="92"/>
      <c r="D18" s="92"/>
      <c r="E18" s="92"/>
      <c r="F18" s="92"/>
      <c r="G18" s="92"/>
      <c r="H18" s="92">
        <v>177</v>
      </c>
      <c r="I18" s="92"/>
      <c r="J18" s="92">
        <v>6.14</v>
      </c>
      <c r="K18" s="92">
        <v>922.86</v>
      </c>
      <c r="L18" s="92">
        <v>1460</v>
      </c>
      <c r="M18" s="92"/>
      <c r="N18" s="92">
        <v>953</v>
      </c>
      <c r="O18" s="92">
        <v>8</v>
      </c>
      <c r="P18" s="92"/>
      <c r="Q18" s="92"/>
      <c r="R18" s="92"/>
      <c r="S18" s="92"/>
      <c r="T18" s="92">
        <v>1103.1600000000001</v>
      </c>
      <c r="U18" s="92"/>
      <c r="V18" s="92">
        <v>1</v>
      </c>
      <c r="W18" s="92"/>
      <c r="X18" s="92"/>
      <c r="Y18" s="30">
        <v>611</v>
      </c>
      <c r="Z18" s="92">
        <v>10</v>
      </c>
      <c r="AA18" s="92"/>
      <c r="AB18" s="92"/>
      <c r="AC18" s="92"/>
      <c r="AD18" s="92">
        <v>2974</v>
      </c>
      <c r="AE18" s="92">
        <v>3076</v>
      </c>
      <c r="AF18" s="92">
        <v>71.38</v>
      </c>
    </row>
    <row r="19" spans="1:32" x14ac:dyDescent="0.25">
      <c r="A19" s="92" t="s">
        <v>269</v>
      </c>
      <c r="B19" s="92"/>
      <c r="C19" s="92"/>
      <c r="D19" s="92"/>
      <c r="E19" s="92"/>
      <c r="F19" s="92"/>
      <c r="G19" s="92"/>
      <c r="H19" s="92">
        <v>2</v>
      </c>
      <c r="I19" s="92"/>
      <c r="J19" s="92">
        <v>-5.55</v>
      </c>
      <c r="K19" s="92"/>
      <c r="L19" s="92"/>
      <c r="M19" s="92"/>
      <c r="N19" s="92"/>
      <c r="O19" s="92"/>
      <c r="P19" s="92"/>
      <c r="Q19" s="92"/>
      <c r="R19" s="92"/>
      <c r="S19" s="92"/>
      <c r="T19" s="92">
        <v>2079.89</v>
      </c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</row>
    <row r="20" spans="1:32" x14ac:dyDescent="0.25">
      <c r="A20" s="92" t="s">
        <v>265</v>
      </c>
      <c r="B20" s="92"/>
      <c r="C20" s="92"/>
      <c r="D20" s="92"/>
      <c r="E20" s="92"/>
      <c r="F20" s="92"/>
      <c r="G20" s="92"/>
      <c r="H20" s="92">
        <f t="shared" ref="H20:AF20" si="4">H15-H16-H17-H18-H19</f>
        <v>21</v>
      </c>
      <c r="I20" s="92"/>
      <c r="J20" s="92">
        <f t="shared" si="4"/>
        <v>-26.639999999999997</v>
      </c>
      <c r="K20" s="92">
        <f t="shared" si="4"/>
        <v>293.29999999999984</v>
      </c>
      <c r="L20" s="92">
        <f t="shared" si="4"/>
        <v>-1648</v>
      </c>
      <c r="M20" s="92"/>
      <c r="N20" s="92">
        <f t="shared" si="4"/>
        <v>-1899</v>
      </c>
      <c r="O20" s="92">
        <f t="shared" si="4"/>
        <v>-12</v>
      </c>
      <c r="P20" s="92"/>
      <c r="Q20" s="92"/>
      <c r="R20" s="92"/>
      <c r="S20" s="92"/>
      <c r="T20" s="92">
        <f t="shared" si="4"/>
        <v>-4110.16</v>
      </c>
      <c r="U20" s="92"/>
      <c r="V20" s="92">
        <f t="shared" si="4"/>
        <v>-1</v>
      </c>
      <c r="W20" s="92">
        <f t="shared" si="4"/>
        <v>0</v>
      </c>
      <c r="X20" s="92">
        <f t="shared" si="4"/>
        <v>0</v>
      </c>
      <c r="Y20" s="92">
        <f t="shared" si="4"/>
        <v>-1315</v>
      </c>
      <c r="Z20" s="92">
        <f t="shared" si="4"/>
        <v>11</v>
      </c>
      <c r="AA20" s="92"/>
      <c r="AB20" s="92">
        <f t="shared" si="4"/>
        <v>0</v>
      </c>
      <c r="AC20" s="92">
        <f t="shared" si="4"/>
        <v>0</v>
      </c>
      <c r="AD20" s="92">
        <f t="shared" si="4"/>
        <v>-3782</v>
      </c>
      <c r="AE20" s="92">
        <f t="shared" si="4"/>
        <v>-4895</v>
      </c>
      <c r="AF20" s="92">
        <f t="shared" si="4"/>
        <v>50.620000000000005</v>
      </c>
    </row>
    <row r="21" spans="1:32" x14ac:dyDescent="0.25">
      <c r="A21" s="92" t="s">
        <v>266</v>
      </c>
      <c r="B21" s="91"/>
      <c r="C21" s="91"/>
      <c r="D21" s="91"/>
      <c r="E21" s="91"/>
      <c r="F21" s="91"/>
      <c r="G21" s="91"/>
      <c r="H21" s="91">
        <f t="shared" ref="H21:AF21" si="5">H20*100/H15</f>
        <v>45.652173913043477</v>
      </c>
      <c r="I21" s="91"/>
      <c r="J21" s="91">
        <f t="shared" si="5"/>
        <v>-109.35960591133004</v>
      </c>
      <c r="K21" s="91">
        <f t="shared" si="5"/>
        <v>9.4827948541369587</v>
      </c>
      <c r="L21" s="91">
        <f t="shared" si="5"/>
        <v>-28.576382868042309</v>
      </c>
      <c r="M21" s="91"/>
      <c r="N21" s="91">
        <f t="shared" si="5"/>
        <v>-39.21933085501859</v>
      </c>
      <c r="O21" s="91">
        <f t="shared" si="5"/>
        <v>-600</v>
      </c>
      <c r="P21" s="91"/>
      <c r="Q21" s="91"/>
      <c r="R21" s="91"/>
      <c r="S21" s="91"/>
      <c r="T21" s="91">
        <f t="shared" si="5"/>
        <v>-65.651215538446792</v>
      </c>
      <c r="U21" s="91"/>
      <c r="V21" s="91">
        <f t="shared" si="5"/>
        <v>-100</v>
      </c>
      <c r="W21" s="91" t="e">
        <f t="shared" si="5"/>
        <v>#DIV/0!</v>
      </c>
      <c r="X21" s="91" t="e">
        <f t="shared" si="5"/>
        <v>#DIV/0!</v>
      </c>
      <c r="Y21" s="91">
        <f t="shared" si="5"/>
        <v>-65.75</v>
      </c>
      <c r="Z21" s="91">
        <f t="shared" si="5"/>
        <v>28.94736842105263</v>
      </c>
      <c r="AA21" s="91"/>
      <c r="AB21" s="91" t="e">
        <f t="shared" si="5"/>
        <v>#DIV/0!</v>
      </c>
      <c r="AC21" s="91" t="e">
        <f t="shared" si="5"/>
        <v>#DIV/0!</v>
      </c>
      <c r="AD21" s="91">
        <f t="shared" si="5"/>
        <v>-34.927964536387144</v>
      </c>
      <c r="AE21" s="91">
        <f t="shared" si="5"/>
        <v>-49.594731509625127</v>
      </c>
      <c r="AF21" s="91">
        <f t="shared" si="5"/>
        <v>20.66122448979592</v>
      </c>
    </row>
    <row r="23" spans="1:32" x14ac:dyDescent="0.25">
      <c r="A23" s="27" t="s">
        <v>184</v>
      </c>
    </row>
    <row r="24" spans="1:32" x14ac:dyDescent="0.25">
      <c r="A24" s="1" t="s">
        <v>0</v>
      </c>
      <c r="B24" s="109" t="s">
        <v>1</v>
      </c>
      <c r="C24" s="109" t="s">
        <v>233</v>
      </c>
      <c r="D24" s="109" t="s">
        <v>2</v>
      </c>
      <c r="E24" s="109" t="s">
        <v>3</v>
      </c>
      <c r="F24" s="109" t="s">
        <v>242</v>
      </c>
      <c r="G24" s="109" t="s">
        <v>234</v>
      </c>
      <c r="H24" s="109" t="s">
        <v>254</v>
      </c>
      <c r="I24" s="109" t="s">
        <v>5</v>
      </c>
      <c r="J24" s="109" t="s">
        <v>4</v>
      </c>
      <c r="K24" s="109" t="s">
        <v>6</v>
      </c>
      <c r="L24" s="109" t="s">
        <v>7</v>
      </c>
      <c r="M24" s="109" t="s">
        <v>8</v>
      </c>
      <c r="N24" s="109" t="s">
        <v>9</v>
      </c>
      <c r="O24" s="109" t="s">
        <v>241</v>
      </c>
      <c r="P24" s="109" t="s">
        <v>10</v>
      </c>
      <c r="Q24" s="109" t="s">
        <v>11</v>
      </c>
      <c r="R24" s="109" t="s">
        <v>235</v>
      </c>
      <c r="S24" s="109" t="s">
        <v>253</v>
      </c>
      <c r="T24" s="109" t="s">
        <v>12</v>
      </c>
      <c r="U24" s="109" t="s">
        <v>236</v>
      </c>
      <c r="V24" s="109" t="s">
        <v>237</v>
      </c>
      <c r="W24" s="109" t="s">
        <v>240</v>
      </c>
      <c r="X24" s="109" t="s">
        <v>13</v>
      </c>
      <c r="Y24" s="109" t="s">
        <v>14</v>
      </c>
      <c r="Z24" s="109" t="s">
        <v>15</v>
      </c>
      <c r="AA24" s="109" t="s">
        <v>16</v>
      </c>
      <c r="AB24" s="109" t="s">
        <v>17</v>
      </c>
      <c r="AC24" s="108" t="s">
        <v>238</v>
      </c>
      <c r="AD24" s="108" t="s">
        <v>239</v>
      </c>
      <c r="AE24" s="108" t="s">
        <v>18</v>
      </c>
      <c r="AF24" s="109" t="s">
        <v>19</v>
      </c>
    </row>
    <row r="25" spans="1:32" x14ac:dyDescent="0.25">
      <c r="A25" s="92" t="s">
        <v>192</v>
      </c>
      <c r="B25" s="92">
        <v>5538</v>
      </c>
      <c r="C25" s="92"/>
      <c r="D25" s="92"/>
      <c r="E25" s="92"/>
      <c r="F25" s="92"/>
      <c r="G25" s="92"/>
      <c r="H25" s="92">
        <v>125462</v>
      </c>
      <c r="I25" s="92"/>
      <c r="J25" s="92">
        <v>5877.87</v>
      </c>
      <c r="K25" s="92">
        <v>67317.14</v>
      </c>
      <c r="L25" s="92">
        <v>127842</v>
      </c>
      <c r="M25" s="92"/>
      <c r="N25" s="92">
        <v>162311</v>
      </c>
      <c r="O25" s="92">
        <v>13439</v>
      </c>
      <c r="P25" s="92"/>
      <c r="Q25" s="92"/>
      <c r="R25" s="92"/>
      <c r="S25" s="92"/>
      <c r="T25" s="92"/>
      <c r="U25" s="92">
        <v>1910</v>
      </c>
      <c r="V25" s="92">
        <v>10283</v>
      </c>
      <c r="W25" s="92"/>
      <c r="X25" s="92"/>
      <c r="Y25" s="92">
        <v>61622</v>
      </c>
      <c r="Z25" s="92">
        <v>91732</v>
      </c>
      <c r="AA25" s="92"/>
      <c r="AB25" s="92"/>
      <c r="AC25" s="92"/>
      <c r="AD25" s="92">
        <v>149376</v>
      </c>
      <c r="AE25" s="92">
        <v>235884</v>
      </c>
      <c r="AF25" s="92">
        <v>21844</v>
      </c>
    </row>
    <row r="26" spans="1:32" x14ac:dyDescent="0.25">
      <c r="A26" s="92" t="s">
        <v>26</v>
      </c>
      <c r="B26" s="92">
        <v>4695</v>
      </c>
      <c r="C26" s="92"/>
      <c r="D26" s="92"/>
      <c r="E26" s="92"/>
      <c r="F26" s="92"/>
      <c r="G26" s="92"/>
      <c r="H26" s="92">
        <v>98071</v>
      </c>
      <c r="I26" s="92"/>
      <c r="J26" s="92">
        <v>5062.25</v>
      </c>
      <c r="K26" s="92">
        <v>40112.79</v>
      </c>
      <c r="L26" s="92">
        <v>86237</v>
      </c>
      <c r="M26" s="92"/>
      <c r="N26" s="92">
        <v>134891</v>
      </c>
      <c r="O26" s="92">
        <v>10773</v>
      </c>
      <c r="P26" s="92"/>
      <c r="Q26" s="92"/>
      <c r="R26" s="92"/>
      <c r="S26" s="92"/>
      <c r="T26" s="92"/>
      <c r="U26" s="92">
        <v>1763</v>
      </c>
      <c r="V26" s="92">
        <v>9580</v>
      </c>
      <c r="W26" s="92"/>
      <c r="X26" s="92"/>
      <c r="Y26" s="92">
        <v>55808</v>
      </c>
      <c r="Z26" s="92">
        <v>73574</v>
      </c>
      <c r="AA26" s="92"/>
      <c r="AB26" s="92"/>
      <c r="AC26" s="92"/>
      <c r="AD26" s="92">
        <v>158717</v>
      </c>
      <c r="AE26" s="92">
        <v>200967</v>
      </c>
      <c r="AF26" s="92">
        <v>16205</v>
      </c>
    </row>
    <row r="27" spans="1:32" x14ac:dyDescent="0.25">
      <c r="A27" s="92" t="s">
        <v>267</v>
      </c>
      <c r="B27" s="92">
        <v>-1594</v>
      </c>
      <c r="C27" s="92"/>
      <c r="D27" s="92"/>
      <c r="E27" s="92"/>
      <c r="F27" s="92"/>
      <c r="G27" s="92"/>
      <c r="H27" s="92">
        <v>5581</v>
      </c>
      <c r="I27" s="92"/>
      <c r="J27" s="92">
        <v>662.64</v>
      </c>
      <c r="K27" s="92">
        <v>5753.89</v>
      </c>
      <c r="L27" s="92">
        <v>2220</v>
      </c>
      <c r="M27" s="92"/>
      <c r="N27" s="92">
        <v>12771</v>
      </c>
      <c r="O27">
        <v>675</v>
      </c>
      <c r="P27" s="92"/>
      <c r="Q27" s="92"/>
      <c r="R27" s="92"/>
      <c r="S27" s="92"/>
      <c r="T27" s="92">
        <v>12831.35</v>
      </c>
      <c r="U27" s="92">
        <v>32</v>
      </c>
      <c r="V27" s="92">
        <v>1510</v>
      </c>
      <c r="W27" s="92"/>
      <c r="X27" s="92"/>
      <c r="Y27" s="92">
        <v>3687</v>
      </c>
      <c r="Z27" s="92">
        <v>3644</v>
      </c>
      <c r="AA27" s="92"/>
      <c r="AB27" s="92"/>
      <c r="AC27" s="92"/>
      <c r="AD27" s="92">
        <v>11488</v>
      </c>
      <c r="AE27" s="92">
        <v>14708</v>
      </c>
      <c r="AF27" s="92">
        <v>1707</v>
      </c>
    </row>
    <row r="28" spans="1:32" x14ac:dyDescent="0.25">
      <c r="A28" s="92" t="s">
        <v>268</v>
      </c>
      <c r="B28" s="92">
        <v>6265</v>
      </c>
      <c r="C28" s="92"/>
      <c r="D28" s="92"/>
      <c r="E28" s="92"/>
      <c r="F28" s="92"/>
      <c r="G28" s="92"/>
      <c r="H28" s="92">
        <v>37274</v>
      </c>
      <c r="I28" s="92"/>
      <c r="J28" s="92">
        <v>3111.65</v>
      </c>
      <c r="K28" s="92">
        <v>23700.7</v>
      </c>
      <c r="L28" s="92">
        <v>21783</v>
      </c>
      <c r="M28" s="92"/>
      <c r="N28" s="92">
        <v>20831</v>
      </c>
      <c r="O28" s="92">
        <v>4952</v>
      </c>
      <c r="P28" s="92"/>
      <c r="Q28" s="92"/>
      <c r="R28" s="92"/>
      <c r="S28" s="92"/>
      <c r="T28" s="92">
        <v>43289.98</v>
      </c>
      <c r="U28" s="92">
        <v>3663</v>
      </c>
      <c r="V28" s="92">
        <v>5042</v>
      </c>
      <c r="W28" s="92"/>
      <c r="X28" s="92"/>
      <c r="Y28" s="92">
        <v>23329</v>
      </c>
      <c r="Z28" s="92">
        <v>17318</v>
      </c>
      <c r="AA28" s="92"/>
      <c r="AB28" s="92"/>
      <c r="AC28" s="92"/>
      <c r="AD28" s="92">
        <v>27806</v>
      </c>
      <c r="AE28" s="92">
        <v>54564</v>
      </c>
      <c r="AF28" s="92">
        <v>6865.63</v>
      </c>
    </row>
    <row r="29" spans="1:32" x14ac:dyDescent="0.25">
      <c r="A29" s="92" t="s">
        <v>269</v>
      </c>
      <c r="B29" s="92"/>
      <c r="C29" s="92"/>
      <c r="D29" s="92"/>
      <c r="E29" s="92"/>
      <c r="F29" s="92"/>
      <c r="G29" s="92"/>
      <c r="H29" s="92"/>
      <c r="I29" s="92"/>
      <c r="J29" s="92">
        <v>-40.98</v>
      </c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</row>
    <row r="30" spans="1:32" x14ac:dyDescent="0.25">
      <c r="A30" s="92" t="s">
        <v>265</v>
      </c>
      <c r="B30" s="92">
        <f t="shared" ref="B30:AF30" si="6">B25-B26-B27-B28-B29</f>
        <v>-3828</v>
      </c>
      <c r="C30" s="92"/>
      <c r="D30" s="92"/>
      <c r="E30" s="92"/>
      <c r="F30" s="92"/>
      <c r="G30" s="92"/>
      <c r="H30" s="92">
        <f t="shared" si="6"/>
        <v>-15464</v>
      </c>
      <c r="I30" s="92"/>
      <c r="J30" s="92">
        <f t="shared" si="6"/>
        <v>-2917.69</v>
      </c>
      <c r="K30" s="92">
        <f t="shared" si="6"/>
        <v>-2250.2400000000016</v>
      </c>
      <c r="L30" s="92">
        <f t="shared" si="6"/>
        <v>17602</v>
      </c>
      <c r="M30" s="92"/>
      <c r="N30" s="92">
        <f t="shared" si="6"/>
        <v>-6182</v>
      </c>
      <c r="O30" s="92">
        <f t="shared" si="6"/>
        <v>-2961</v>
      </c>
      <c r="P30" s="92"/>
      <c r="Q30" s="92"/>
      <c r="R30" s="92"/>
      <c r="S30" s="92"/>
      <c r="T30" s="92">
        <f t="shared" si="6"/>
        <v>-56121.33</v>
      </c>
      <c r="U30" s="92">
        <f t="shared" si="6"/>
        <v>-3548</v>
      </c>
      <c r="V30" s="92">
        <f t="shared" si="6"/>
        <v>-5849</v>
      </c>
      <c r="W30" s="92">
        <f t="shared" si="6"/>
        <v>0</v>
      </c>
      <c r="X30" s="92">
        <f t="shared" si="6"/>
        <v>0</v>
      </c>
      <c r="Y30" s="92">
        <f t="shared" si="6"/>
        <v>-21202</v>
      </c>
      <c r="Z30" s="92">
        <f t="shared" si="6"/>
        <v>-2804</v>
      </c>
      <c r="AA30" s="92"/>
      <c r="AB30" s="92">
        <f t="shared" si="6"/>
        <v>0</v>
      </c>
      <c r="AC30" s="92">
        <f t="shared" si="6"/>
        <v>0</v>
      </c>
      <c r="AD30" s="92">
        <f t="shared" si="6"/>
        <v>-48635</v>
      </c>
      <c r="AE30" s="92">
        <f t="shared" si="6"/>
        <v>-34355</v>
      </c>
      <c r="AF30" s="92">
        <f t="shared" si="6"/>
        <v>-2933.63</v>
      </c>
    </row>
    <row r="31" spans="1:32" x14ac:dyDescent="0.25">
      <c r="A31" s="92" t="s">
        <v>266</v>
      </c>
      <c r="B31" s="91">
        <f t="shared" ref="B31:AF31" si="7">B30*100/B25</f>
        <v>-69.122426868905748</v>
      </c>
      <c r="C31" s="91"/>
      <c r="D31" s="91"/>
      <c r="E31" s="91"/>
      <c r="F31" s="91"/>
      <c r="G31" s="91"/>
      <c r="H31" s="91">
        <f t="shared" si="7"/>
        <v>-12.325644418230221</v>
      </c>
      <c r="I31" s="91"/>
      <c r="J31" s="91">
        <f t="shared" si="7"/>
        <v>-49.638559546230184</v>
      </c>
      <c r="K31" s="91">
        <f t="shared" si="7"/>
        <v>-3.342744507565238</v>
      </c>
      <c r="L31" s="91">
        <f t="shared" si="7"/>
        <v>13.768558063860077</v>
      </c>
      <c r="M31" s="91"/>
      <c r="N31" s="91">
        <f t="shared" si="7"/>
        <v>-3.8087375470547284</v>
      </c>
      <c r="O31" s="91">
        <f t="shared" si="7"/>
        <v>-22.0328893518863</v>
      </c>
      <c r="P31" s="91"/>
      <c r="Q31" s="91"/>
      <c r="R31" s="91"/>
      <c r="S31" s="91"/>
      <c r="T31" s="36">
        <v>-0.18870000000000001</v>
      </c>
      <c r="U31" s="91">
        <f t="shared" si="7"/>
        <v>-185.75916230366491</v>
      </c>
      <c r="V31" s="91">
        <f t="shared" si="7"/>
        <v>-56.880287853739183</v>
      </c>
      <c r="W31" s="91" t="e">
        <f t="shared" si="7"/>
        <v>#DIV/0!</v>
      </c>
      <c r="X31" s="91" t="e">
        <f t="shared" si="7"/>
        <v>#DIV/0!</v>
      </c>
      <c r="Y31" s="91">
        <f t="shared" si="7"/>
        <v>-34.406543117717696</v>
      </c>
      <c r="Z31" s="91">
        <f t="shared" si="7"/>
        <v>-3.0567304757336591</v>
      </c>
      <c r="AA31" s="91"/>
      <c r="AB31" s="91" t="e">
        <f t="shared" si="7"/>
        <v>#DIV/0!</v>
      </c>
      <c r="AC31" s="91" t="e">
        <f t="shared" si="7"/>
        <v>#DIV/0!</v>
      </c>
      <c r="AD31" s="91">
        <f t="shared" si="7"/>
        <v>-32.558777849185944</v>
      </c>
      <c r="AE31" s="91">
        <f t="shared" si="7"/>
        <v>-14.564362144104729</v>
      </c>
      <c r="AF31" s="91">
        <f t="shared" si="7"/>
        <v>-13.429912104010254</v>
      </c>
    </row>
    <row r="33" spans="1:32" x14ac:dyDescent="0.25">
      <c r="A33" s="27" t="s">
        <v>185</v>
      </c>
    </row>
    <row r="34" spans="1:32" x14ac:dyDescent="0.25">
      <c r="A34" s="1" t="s">
        <v>0</v>
      </c>
      <c r="B34" s="109" t="s">
        <v>1</v>
      </c>
      <c r="C34" s="109" t="s">
        <v>233</v>
      </c>
      <c r="D34" s="109" t="s">
        <v>2</v>
      </c>
      <c r="E34" s="109" t="s">
        <v>3</v>
      </c>
      <c r="F34" s="109" t="s">
        <v>242</v>
      </c>
      <c r="G34" s="109" t="s">
        <v>234</v>
      </c>
      <c r="H34" s="109" t="s">
        <v>254</v>
      </c>
      <c r="I34" s="109" t="s">
        <v>5</v>
      </c>
      <c r="J34" s="109" t="s">
        <v>4</v>
      </c>
      <c r="K34" s="109" t="s">
        <v>6</v>
      </c>
      <c r="L34" s="109" t="s">
        <v>7</v>
      </c>
      <c r="M34" s="109" t="s">
        <v>8</v>
      </c>
      <c r="N34" s="109" t="s">
        <v>9</v>
      </c>
      <c r="O34" s="109" t="s">
        <v>241</v>
      </c>
      <c r="P34" s="109" t="s">
        <v>10</v>
      </c>
      <c r="Q34" s="109" t="s">
        <v>11</v>
      </c>
      <c r="R34" s="109" t="s">
        <v>235</v>
      </c>
      <c r="S34" s="109" t="s">
        <v>253</v>
      </c>
      <c r="T34" s="109" t="s">
        <v>12</v>
      </c>
      <c r="U34" s="109" t="s">
        <v>236</v>
      </c>
      <c r="V34" s="109" t="s">
        <v>237</v>
      </c>
      <c r="W34" s="109" t="s">
        <v>240</v>
      </c>
      <c r="X34" s="109" t="s">
        <v>13</v>
      </c>
      <c r="Y34" s="109" t="s">
        <v>14</v>
      </c>
      <c r="Z34" s="109" t="s">
        <v>15</v>
      </c>
      <c r="AA34" s="109" t="s">
        <v>16</v>
      </c>
      <c r="AB34" s="109" t="s">
        <v>17</v>
      </c>
      <c r="AC34" s="108" t="s">
        <v>238</v>
      </c>
      <c r="AD34" s="108" t="s">
        <v>239</v>
      </c>
      <c r="AE34" s="108" t="s">
        <v>18</v>
      </c>
      <c r="AF34" s="109" t="s">
        <v>19</v>
      </c>
    </row>
    <row r="35" spans="1:32" x14ac:dyDescent="0.25">
      <c r="A35" s="92" t="s">
        <v>192</v>
      </c>
      <c r="B35" s="92"/>
      <c r="C35" s="92"/>
      <c r="D35" s="92"/>
      <c r="E35" s="92"/>
      <c r="F35" s="92"/>
      <c r="G35" s="92"/>
      <c r="H35" s="92">
        <v>93</v>
      </c>
      <c r="I35" s="92"/>
      <c r="J35" s="92">
        <v>19.59</v>
      </c>
      <c r="K35" s="92">
        <v>522.42999999999995</v>
      </c>
      <c r="L35" s="92">
        <v>2583</v>
      </c>
      <c r="M35" s="92"/>
      <c r="N35" s="92">
        <v>889</v>
      </c>
      <c r="O35" s="92">
        <v>26</v>
      </c>
      <c r="P35" s="92"/>
      <c r="Q35" s="92"/>
      <c r="R35" s="92"/>
      <c r="S35" s="92"/>
      <c r="T35" s="92">
        <v>9587.4599999999991</v>
      </c>
      <c r="U35" s="92">
        <v>4</v>
      </c>
      <c r="V35" s="92">
        <v>32</v>
      </c>
      <c r="W35" s="92"/>
      <c r="X35" s="92"/>
      <c r="Y35">
        <v>833</v>
      </c>
      <c r="Z35" s="92">
        <v>414</v>
      </c>
      <c r="AA35" s="92"/>
      <c r="AB35" s="92"/>
      <c r="AC35" s="92"/>
      <c r="AD35">
        <v>8588</v>
      </c>
      <c r="AE35" s="92">
        <v>9149</v>
      </c>
      <c r="AF35" s="92">
        <v>2.74</v>
      </c>
    </row>
    <row r="36" spans="1:32" x14ac:dyDescent="0.25">
      <c r="A36" s="92" t="s">
        <v>26</v>
      </c>
      <c r="B36" s="92"/>
      <c r="C36" s="92"/>
      <c r="D36" s="92"/>
      <c r="E36" s="92"/>
      <c r="F36" s="92"/>
      <c r="G36" s="92"/>
      <c r="H36" s="92">
        <v>73</v>
      </c>
      <c r="I36" s="92"/>
      <c r="J36" s="92">
        <v>33.82</v>
      </c>
      <c r="K36" s="92">
        <v>270.06</v>
      </c>
      <c r="L36" s="92">
        <v>2622</v>
      </c>
      <c r="M36" s="92"/>
      <c r="N36" s="92">
        <v>194</v>
      </c>
      <c r="O36" s="92">
        <v>17</v>
      </c>
      <c r="P36" s="92"/>
      <c r="Q36" s="92"/>
      <c r="R36" s="92"/>
      <c r="S36" s="92"/>
      <c r="T36" s="92">
        <v>-50.59</v>
      </c>
      <c r="U36" s="92">
        <v>-3</v>
      </c>
      <c r="V36" s="92">
        <v>91</v>
      </c>
      <c r="W36" s="92"/>
      <c r="X36" s="92"/>
      <c r="Y36" s="92">
        <v>1120</v>
      </c>
      <c r="Z36" s="92">
        <v>256</v>
      </c>
      <c r="AA36" s="92"/>
      <c r="AB36" s="92"/>
      <c r="AC36" s="92"/>
      <c r="AD36" s="92">
        <v>89</v>
      </c>
      <c r="AE36" s="92">
        <v>-3085</v>
      </c>
      <c r="AF36" s="92">
        <v>-110.98</v>
      </c>
    </row>
    <row r="37" spans="1:32" x14ac:dyDescent="0.25">
      <c r="A37" s="92" t="s">
        <v>267</v>
      </c>
      <c r="B37" s="92"/>
      <c r="C37" s="92"/>
      <c r="D37" s="92"/>
      <c r="E37" s="92"/>
      <c r="F37" s="92"/>
      <c r="G37" s="92"/>
      <c r="H37" s="92">
        <v>-116</v>
      </c>
      <c r="I37" s="92"/>
      <c r="J37" s="92">
        <v>-31.68</v>
      </c>
      <c r="K37" s="92">
        <v>-281.52</v>
      </c>
      <c r="L37" s="92">
        <v>-883</v>
      </c>
      <c r="M37" s="92"/>
      <c r="N37" s="92">
        <v>214</v>
      </c>
      <c r="O37" s="92">
        <v>-3</v>
      </c>
      <c r="P37" s="92"/>
      <c r="Q37" s="92"/>
      <c r="R37" s="92"/>
      <c r="S37" s="92"/>
      <c r="T37" s="92">
        <v>605.58000000000004</v>
      </c>
      <c r="U37" s="92">
        <v>1</v>
      </c>
      <c r="V37" s="92">
        <v>20</v>
      </c>
      <c r="W37" s="92"/>
      <c r="X37" s="92"/>
      <c r="Y37" s="30">
        <v>-378</v>
      </c>
      <c r="Z37" s="92">
        <v>7</v>
      </c>
      <c r="AA37" s="92"/>
      <c r="AB37" s="92"/>
      <c r="AC37" s="92"/>
      <c r="AD37" s="92">
        <v>1097</v>
      </c>
      <c r="AE37" s="92">
        <v>1793</v>
      </c>
      <c r="AF37" s="92">
        <v>-51.84</v>
      </c>
    </row>
    <row r="38" spans="1:32" x14ac:dyDescent="0.25">
      <c r="A38" s="92" t="s">
        <v>268</v>
      </c>
      <c r="B38" s="92"/>
      <c r="C38" s="92"/>
      <c r="D38" s="92"/>
      <c r="E38" s="92"/>
      <c r="F38" s="92"/>
      <c r="G38" s="92"/>
      <c r="H38" s="92">
        <v>252</v>
      </c>
      <c r="I38" s="92"/>
      <c r="J38" s="92">
        <v>14.22</v>
      </c>
      <c r="K38" s="92">
        <v>774.78</v>
      </c>
      <c r="L38" s="92">
        <v>1568</v>
      </c>
      <c r="M38" s="92"/>
      <c r="N38" s="92">
        <v>137</v>
      </c>
      <c r="O38" s="92">
        <v>12</v>
      </c>
      <c r="P38" s="92"/>
      <c r="Q38" s="92"/>
      <c r="R38" s="92"/>
      <c r="S38" s="92"/>
      <c r="T38" s="92">
        <v>2193.16</v>
      </c>
      <c r="U38" s="92"/>
      <c r="V38" s="92">
        <v>142</v>
      </c>
      <c r="W38" s="92"/>
      <c r="X38" s="92"/>
      <c r="Y38" s="30">
        <v>214</v>
      </c>
      <c r="Z38" s="92">
        <v>101</v>
      </c>
      <c r="AA38" s="92"/>
      <c r="AB38" s="92"/>
      <c r="AC38" s="92"/>
      <c r="AD38" s="92">
        <v>3243</v>
      </c>
      <c r="AE38" s="92">
        <v>4103</v>
      </c>
      <c r="AF38" s="92">
        <v>2.08</v>
      </c>
    </row>
    <row r="39" spans="1:32" x14ac:dyDescent="0.25">
      <c r="A39" s="92" t="s">
        <v>269</v>
      </c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</row>
    <row r="40" spans="1:32" x14ac:dyDescent="0.25">
      <c r="A40" s="92" t="s">
        <v>265</v>
      </c>
      <c r="B40" s="92"/>
      <c r="C40" s="92"/>
      <c r="D40" s="92"/>
      <c r="E40" s="92"/>
      <c r="F40" s="92"/>
      <c r="G40" s="92"/>
      <c r="H40" s="92">
        <f t="shared" ref="H40:AF40" si="8">H35-H36-H37-H38-H39</f>
        <v>-116</v>
      </c>
      <c r="I40" s="92"/>
      <c r="J40" s="92">
        <f t="shared" si="8"/>
        <v>3.2299999999999986</v>
      </c>
      <c r="K40" s="92">
        <f t="shared" si="8"/>
        <v>-240.8900000000001</v>
      </c>
      <c r="L40" s="92">
        <f t="shared" si="8"/>
        <v>-724</v>
      </c>
      <c r="M40" s="92"/>
      <c r="N40" s="92">
        <f t="shared" si="8"/>
        <v>344</v>
      </c>
      <c r="O40" s="92">
        <f t="shared" si="8"/>
        <v>0</v>
      </c>
      <c r="P40" s="92"/>
      <c r="Q40" s="92"/>
      <c r="R40" s="92"/>
      <c r="S40" s="92"/>
      <c r="T40" s="92">
        <f t="shared" si="8"/>
        <v>6839.3099999999995</v>
      </c>
      <c r="U40" s="92">
        <f t="shared" si="8"/>
        <v>6</v>
      </c>
      <c r="V40" s="92">
        <f t="shared" si="8"/>
        <v>-221</v>
      </c>
      <c r="W40" s="92">
        <f t="shared" si="8"/>
        <v>0</v>
      </c>
      <c r="X40" s="92">
        <f t="shared" si="8"/>
        <v>0</v>
      </c>
      <c r="Y40" s="92">
        <f t="shared" si="8"/>
        <v>-123</v>
      </c>
      <c r="Z40" s="92">
        <f t="shared" si="8"/>
        <v>50</v>
      </c>
      <c r="AA40" s="92"/>
      <c r="AB40" s="92">
        <f t="shared" si="8"/>
        <v>0</v>
      </c>
      <c r="AC40" s="92">
        <f t="shared" si="8"/>
        <v>0</v>
      </c>
      <c r="AD40" s="92">
        <f t="shared" si="8"/>
        <v>4159</v>
      </c>
      <c r="AE40" s="92">
        <f t="shared" si="8"/>
        <v>6338</v>
      </c>
      <c r="AF40" s="92">
        <f t="shared" si="8"/>
        <v>163.47999999999999</v>
      </c>
    </row>
    <row r="41" spans="1:32" x14ac:dyDescent="0.25">
      <c r="A41" s="92" t="s">
        <v>266</v>
      </c>
      <c r="B41" s="91"/>
      <c r="C41" s="91"/>
      <c r="D41" s="91"/>
      <c r="E41" s="91"/>
      <c r="F41" s="91"/>
      <c r="G41" s="91"/>
      <c r="H41" s="91">
        <f t="shared" ref="H41:AF41" si="9">H40*100/H35</f>
        <v>-124.73118279569893</v>
      </c>
      <c r="I41" s="91"/>
      <c r="J41" s="91">
        <f t="shared" si="9"/>
        <v>16.488004083716177</v>
      </c>
      <c r="K41" s="91">
        <f t="shared" si="9"/>
        <v>-46.109526635147319</v>
      </c>
      <c r="L41" s="91">
        <f t="shared" si="9"/>
        <v>-28.02942315137437</v>
      </c>
      <c r="M41" s="91"/>
      <c r="N41" s="91">
        <f t="shared" si="9"/>
        <v>38.695163104611922</v>
      </c>
      <c r="O41" s="91">
        <f t="shared" si="9"/>
        <v>0</v>
      </c>
      <c r="P41" s="91"/>
      <c r="Q41" s="91"/>
      <c r="R41" s="91"/>
      <c r="S41" s="91"/>
      <c r="T41" s="91">
        <f t="shared" si="9"/>
        <v>71.335995143656405</v>
      </c>
      <c r="U41" s="91">
        <f t="shared" si="9"/>
        <v>150</v>
      </c>
      <c r="V41" s="91">
        <f t="shared" si="9"/>
        <v>-690.625</v>
      </c>
      <c r="W41" s="91" t="e">
        <f t="shared" si="9"/>
        <v>#DIV/0!</v>
      </c>
      <c r="X41" s="91" t="e">
        <f t="shared" si="9"/>
        <v>#DIV/0!</v>
      </c>
      <c r="Y41" s="91">
        <f t="shared" si="9"/>
        <v>-14.765906362545017</v>
      </c>
      <c r="Z41" s="91">
        <f t="shared" si="9"/>
        <v>12.077294685990339</v>
      </c>
      <c r="AA41" s="91"/>
      <c r="AB41" s="91" t="e">
        <f t="shared" si="9"/>
        <v>#DIV/0!</v>
      </c>
      <c r="AC41" s="91" t="e">
        <f t="shared" si="9"/>
        <v>#DIV/0!</v>
      </c>
      <c r="AD41" s="91">
        <f t="shared" si="9"/>
        <v>48.428039124359572</v>
      </c>
      <c r="AE41" s="91">
        <f t="shared" si="9"/>
        <v>69.275330637228109</v>
      </c>
      <c r="AF41" s="91">
        <f t="shared" si="9"/>
        <v>5966.4233576642328</v>
      </c>
    </row>
    <row r="43" spans="1:32" x14ac:dyDescent="0.25">
      <c r="A43" s="27" t="s">
        <v>186</v>
      </c>
    </row>
    <row r="44" spans="1:32" x14ac:dyDescent="0.25">
      <c r="A44" s="1" t="s">
        <v>0</v>
      </c>
      <c r="B44" s="109" t="s">
        <v>1</v>
      </c>
      <c r="C44" s="109" t="s">
        <v>233</v>
      </c>
      <c r="D44" s="109" t="s">
        <v>2</v>
      </c>
      <c r="E44" s="109" t="s">
        <v>3</v>
      </c>
      <c r="F44" s="109" t="s">
        <v>242</v>
      </c>
      <c r="G44" s="109" t="s">
        <v>234</v>
      </c>
      <c r="H44" s="109" t="s">
        <v>254</v>
      </c>
      <c r="I44" s="109" t="s">
        <v>5</v>
      </c>
      <c r="J44" s="109" t="s">
        <v>4</v>
      </c>
      <c r="K44" s="109" t="s">
        <v>6</v>
      </c>
      <c r="L44" s="109" t="s">
        <v>7</v>
      </c>
      <c r="M44" s="109" t="s">
        <v>8</v>
      </c>
      <c r="N44" s="109" t="s">
        <v>9</v>
      </c>
      <c r="O44" s="109" t="s">
        <v>241</v>
      </c>
      <c r="P44" s="109" t="s">
        <v>10</v>
      </c>
      <c r="Q44" s="109" t="s">
        <v>11</v>
      </c>
      <c r="R44" s="109" t="s">
        <v>235</v>
      </c>
      <c r="S44" s="109" t="s">
        <v>253</v>
      </c>
      <c r="T44" s="109" t="s">
        <v>12</v>
      </c>
      <c r="U44" s="109" t="s">
        <v>236</v>
      </c>
      <c r="V44" s="109" t="s">
        <v>237</v>
      </c>
      <c r="W44" s="109" t="s">
        <v>240</v>
      </c>
      <c r="X44" s="109" t="s">
        <v>13</v>
      </c>
      <c r="Y44" s="109" t="s">
        <v>14</v>
      </c>
      <c r="Z44" s="109" t="s">
        <v>15</v>
      </c>
      <c r="AA44" s="109" t="s">
        <v>16</v>
      </c>
      <c r="AB44" s="109" t="s">
        <v>17</v>
      </c>
      <c r="AC44" s="108" t="s">
        <v>238</v>
      </c>
      <c r="AD44" s="108" t="s">
        <v>239</v>
      </c>
      <c r="AE44" s="108" t="s">
        <v>18</v>
      </c>
      <c r="AF44" s="109" t="s">
        <v>19</v>
      </c>
    </row>
    <row r="45" spans="1:32" x14ac:dyDescent="0.25">
      <c r="A45" s="92" t="s">
        <v>192</v>
      </c>
      <c r="B45" s="92">
        <f>42+11466</f>
        <v>11508</v>
      </c>
      <c r="C45" s="92">
        <f>20119+12337+12795</f>
        <v>45251</v>
      </c>
      <c r="D45" s="92"/>
      <c r="E45" s="92"/>
      <c r="F45" s="92"/>
      <c r="G45" s="92"/>
      <c r="H45" s="92">
        <f>700+11765</f>
        <v>12465</v>
      </c>
      <c r="I45" s="92"/>
      <c r="J45" s="92">
        <f>616.16+3973.54+71.02</f>
        <v>4660.72</v>
      </c>
      <c r="K45" s="92">
        <f>6877.31+9630.72</f>
        <v>16508.03</v>
      </c>
      <c r="L45" s="92">
        <f>101642+50086</f>
        <v>151728</v>
      </c>
      <c r="M45" s="92"/>
      <c r="N45" s="92">
        <f>9626+10594+52193</f>
        <v>72413</v>
      </c>
      <c r="O45" s="92">
        <f>3455+5297</f>
        <v>8752</v>
      </c>
      <c r="P45" s="92"/>
      <c r="Q45" s="92"/>
      <c r="R45" s="92"/>
      <c r="S45" s="92">
        <f>15622.75+59903.83</f>
        <v>75526.58</v>
      </c>
      <c r="T45" s="92">
        <f>97276.46+193367.54+20038.04</f>
        <v>310682.03999999998</v>
      </c>
      <c r="U45" s="92">
        <v>1227</v>
      </c>
      <c r="V45" s="92">
        <f>655+136</f>
        <v>791</v>
      </c>
      <c r="W45" s="92"/>
      <c r="X45" s="92"/>
      <c r="Y45" s="92">
        <f>24225+68628+2864</f>
        <v>95717</v>
      </c>
      <c r="Z45" s="92">
        <f>534+75+115</f>
        <v>724</v>
      </c>
      <c r="AA45" s="92">
        <f>410130+46674+5554</f>
        <v>462358</v>
      </c>
      <c r="AB45" s="92"/>
      <c r="AC45" s="92"/>
      <c r="AD45" s="92">
        <v>304372</v>
      </c>
      <c r="AE45" s="92">
        <f>62743+142650+80372</f>
        <v>285765</v>
      </c>
      <c r="AF45" s="92">
        <f>5533+6523</f>
        <v>12056</v>
      </c>
    </row>
    <row r="46" spans="1:32" x14ac:dyDescent="0.25">
      <c r="A46" s="92" t="s">
        <v>26</v>
      </c>
      <c r="B46" s="92">
        <f>88+14931</f>
        <v>15019</v>
      </c>
      <c r="C46" s="92">
        <f>25252+12921+5065</f>
        <v>43238</v>
      </c>
      <c r="D46" s="92"/>
      <c r="E46" s="92"/>
      <c r="F46" s="92"/>
      <c r="G46" s="92"/>
      <c r="H46" s="92">
        <f>604+6586</f>
        <v>7190</v>
      </c>
      <c r="I46" s="92"/>
      <c r="J46" s="92">
        <f>1502.42+4539.47+42.61</f>
        <v>6084.5</v>
      </c>
      <c r="K46" s="92">
        <f>10630.54+10117.01</f>
        <v>20747.550000000003</v>
      </c>
      <c r="L46" s="92">
        <f>125813+47506</f>
        <v>173319</v>
      </c>
      <c r="M46" s="92"/>
      <c r="N46" s="92">
        <f>20486+13492+63285</f>
        <v>97263</v>
      </c>
      <c r="O46" s="92">
        <f>3606+3685</f>
        <v>7291</v>
      </c>
      <c r="P46" s="92"/>
      <c r="Q46" s="92"/>
      <c r="R46" s="92"/>
      <c r="S46" s="92">
        <f>46171.62+8117.75</f>
        <v>54289.37</v>
      </c>
      <c r="T46" s="92">
        <f>120019.86+254400.94+20336.7</f>
        <v>394757.5</v>
      </c>
      <c r="U46" s="92">
        <f>80+36+140</f>
        <v>256</v>
      </c>
      <c r="V46" s="92">
        <f>740+138</f>
        <v>878</v>
      </c>
      <c r="W46" s="92"/>
      <c r="X46" s="92"/>
      <c r="Y46" s="92">
        <f>12589+63264+6628</f>
        <v>82481</v>
      </c>
      <c r="Z46" s="92">
        <f>262+73+123</f>
        <v>458</v>
      </c>
      <c r="AA46" s="92">
        <f>345981-1+55192+7161</f>
        <v>408333</v>
      </c>
      <c r="AB46" s="92"/>
      <c r="AC46" s="92"/>
      <c r="AD46" s="92">
        <v>415016</v>
      </c>
      <c r="AE46" s="92">
        <f>88615+168020+123925</f>
        <v>380560</v>
      </c>
      <c r="AF46" s="92">
        <f>9105+6832</f>
        <v>15937</v>
      </c>
    </row>
    <row r="47" spans="1:32" x14ac:dyDescent="0.25">
      <c r="A47" s="92" t="s">
        <v>267</v>
      </c>
      <c r="B47" s="92">
        <v>719</v>
      </c>
      <c r="C47" s="92">
        <f>-126+1006+125</f>
        <v>1005</v>
      </c>
      <c r="D47" s="92"/>
      <c r="E47" s="92"/>
      <c r="F47" s="92"/>
      <c r="G47" s="92"/>
      <c r="H47" s="92">
        <f>57+1829</f>
        <v>1886</v>
      </c>
      <c r="I47" s="92"/>
      <c r="J47" s="92">
        <f>40.37+306.4-360.66</f>
        <v>-13.890000000000043</v>
      </c>
      <c r="K47" s="92">
        <f>598-442.15</f>
        <v>155.85000000000002</v>
      </c>
      <c r="L47" s="92">
        <f>5371-9531</f>
        <v>-4160</v>
      </c>
      <c r="M47" s="92"/>
      <c r="N47" s="92">
        <f>1568+2476-124</f>
        <v>3920</v>
      </c>
      <c r="O47" s="92">
        <f>341-179</f>
        <v>162</v>
      </c>
      <c r="P47" s="92"/>
      <c r="Q47" s="92"/>
      <c r="R47" s="92"/>
      <c r="S47" s="92">
        <f>1037.31+1480.73</f>
        <v>2518.04</v>
      </c>
      <c r="T47" s="92">
        <f>5905.16+11645.65+899.42</f>
        <v>18450.229999999996</v>
      </c>
      <c r="U47" s="92">
        <v>103</v>
      </c>
      <c r="V47" s="92">
        <f>13+11</f>
        <v>24</v>
      </c>
      <c r="W47" s="92"/>
      <c r="X47" s="92"/>
      <c r="Y47" s="92">
        <f>2221+3158-76</f>
        <v>5303</v>
      </c>
      <c r="Z47" s="92">
        <f>126+12-2</f>
        <v>136</v>
      </c>
      <c r="AA47" s="92">
        <f>53722+7470+889</f>
        <v>62081</v>
      </c>
      <c r="AB47" s="92"/>
      <c r="AC47" s="92"/>
      <c r="AD47" s="92">
        <v>18395</v>
      </c>
      <c r="AE47" s="92">
        <f>7522+4108</f>
        <v>11630</v>
      </c>
      <c r="AF47" s="92">
        <f>1060+965</f>
        <v>2025</v>
      </c>
    </row>
    <row r="48" spans="1:32" x14ac:dyDescent="0.25">
      <c r="A48" s="92" t="s">
        <v>268</v>
      </c>
      <c r="B48" s="92">
        <f>77+15561</f>
        <v>15638</v>
      </c>
      <c r="C48" s="92">
        <f>14371+6888+8412</f>
        <v>29671</v>
      </c>
      <c r="D48" s="92"/>
      <c r="E48" s="92"/>
      <c r="F48" s="92"/>
      <c r="G48" s="92"/>
      <c r="H48" s="92">
        <f>196+4182</f>
        <v>4378</v>
      </c>
      <c r="I48" s="92"/>
      <c r="J48" s="92">
        <f>332.14+2141.97+38.28</f>
        <v>2512.39</v>
      </c>
      <c r="K48" s="92">
        <f>3196.15+1860.45</f>
        <v>5056.6000000000004</v>
      </c>
      <c r="L48" s="92">
        <f>20569+9908</f>
        <v>30477</v>
      </c>
      <c r="M48" s="92"/>
      <c r="N48" s="92">
        <f>1348+1257+10515</f>
        <v>13120</v>
      </c>
      <c r="O48" s="92">
        <f>1424+2535</f>
        <v>3959</v>
      </c>
      <c r="P48" s="92"/>
      <c r="Q48" s="92"/>
      <c r="R48" s="92"/>
      <c r="S48" s="92">
        <f>27980.38+7413.44</f>
        <v>35393.82</v>
      </c>
      <c r="T48" s="92">
        <f>22615.36+44973.9+4722.68</f>
        <v>72311.94</v>
      </c>
      <c r="U48" s="92">
        <v>1127</v>
      </c>
      <c r="V48" s="92">
        <f>32+63</f>
        <v>95</v>
      </c>
      <c r="W48" s="92"/>
      <c r="X48" s="92"/>
      <c r="Y48" s="92">
        <f>3752+14469+1658</f>
        <v>19879</v>
      </c>
      <c r="Z48" s="92">
        <f>216+208</f>
        <v>424</v>
      </c>
      <c r="AA48" s="92">
        <f>73141+9983+1188</f>
        <v>84312</v>
      </c>
      <c r="AB48" s="92"/>
      <c r="AC48" s="92"/>
      <c r="AD48" s="92">
        <v>69404</v>
      </c>
      <c r="AE48" s="92">
        <f>15295+41167+18143</f>
        <v>74605</v>
      </c>
      <c r="AF48" s="92">
        <f>1468.5+2560.38</f>
        <v>4028.88</v>
      </c>
    </row>
    <row r="49" spans="1:32" x14ac:dyDescent="0.25">
      <c r="A49" s="92" t="s">
        <v>269</v>
      </c>
      <c r="B49" s="92"/>
      <c r="C49" s="92"/>
      <c r="D49" s="92"/>
      <c r="E49" s="92"/>
      <c r="F49" s="92"/>
      <c r="G49" s="92"/>
      <c r="H49" s="92"/>
      <c r="I49" s="92"/>
      <c r="J49" s="92">
        <f>-174.25-162.84</f>
        <v>-337.09000000000003</v>
      </c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>
        <v>-12899</v>
      </c>
      <c r="AE49" s="92"/>
      <c r="AF49" s="92"/>
    </row>
    <row r="50" spans="1:32" x14ac:dyDescent="0.25">
      <c r="A50" s="92" t="s">
        <v>265</v>
      </c>
      <c r="B50" s="92">
        <f t="shared" ref="B50:AF50" si="10">B45-B46-B47-B48-B49</f>
        <v>-19868</v>
      </c>
      <c r="C50" s="92">
        <f t="shared" si="10"/>
        <v>-28663</v>
      </c>
      <c r="D50" s="92"/>
      <c r="E50" s="92"/>
      <c r="F50" s="92"/>
      <c r="G50" s="92"/>
      <c r="H50" s="92">
        <f t="shared" si="10"/>
        <v>-989</v>
      </c>
      <c r="I50" s="92"/>
      <c r="J50" s="92">
        <f t="shared" si="10"/>
        <v>-3585.1899999999996</v>
      </c>
      <c r="K50" s="92">
        <f t="shared" si="10"/>
        <v>-9451.9700000000048</v>
      </c>
      <c r="L50" s="92">
        <f t="shared" si="10"/>
        <v>-47908</v>
      </c>
      <c r="M50" s="92"/>
      <c r="N50" s="92">
        <f t="shared" si="10"/>
        <v>-41890</v>
      </c>
      <c r="O50" s="92">
        <f t="shared" si="10"/>
        <v>-2660</v>
      </c>
      <c r="P50" s="92"/>
      <c r="Q50" s="92"/>
      <c r="R50" s="92"/>
      <c r="S50" s="92">
        <f t="shared" si="10"/>
        <v>-16674.650000000001</v>
      </c>
      <c r="T50" s="92">
        <f t="shared" si="10"/>
        <v>-174837.63</v>
      </c>
      <c r="U50" s="92">
        <f t="shared" si="10"/>
        <v>-259</v>
      </c>
      <c r="V50" s="92">
        <f t="shared" si="10"/>
        <v>-206</v>
      </c>
      <c r="W50" s="92">
        <f t="shared" si="10"/>
        <v>0</v>
      </c>
      <c r="X50" s="92">
        <f t="shared" si="10"/>
        <v>0</v>
      </c>
      <c r="Y50" s="92">
        <f t="shared" si="10"/>
        <v>-11946</v>
      </c>
      <c r="Z50" s="92">
        <f t="shared" si="10"/>
        <v>-294</v>
      </c>
      <c r="AA50" s="92">
        <f t="shared" si="10"/>
        <v>-92368</v>
      </c>
      <c r="AB50" s="92">
        <f t="shared" si="10"/>
        <v>0</v>
      </c>
      <c r="AC50" s="92">
        <f t="shared" si="10"/>
        <v>0</v>
      </c>
      <c r="AD50" s="92">
        <f t="shared" si="10"/>
        <v>-185544</v>
      </c>
      <c r="AE50" s="92">
        <f t="shared" si="10"/>
        <v>-181030</v>
      </c>
      <c r="AF50" s="92">
        <f t="shared" si="10"/>
        <v>-9934.880000000001</v>
      </c>
    </row>
    <row r="51" spans="1:32" x14ac:dyDescent="0.25">
      <c r="A51" s="92" t="s">
        <v>266</v>
      </c>
      <c r="B51" s="91">
        <f t="shared" ref="B51:AF51" si="11">B50*100/B45</f>
        <v>-172.64511644073687</v>
      </c>
      <c r="C51" s="91">
        <f t="shared" si="11"/>
        <v>-63.342246580186071</v>
      </c>
      <c r="D51" s="91"/>
      <c r="E51" s="91"/>
      <c r="F51" s="91"/>
      <c r="G51" s="91"/>
      <c r="H51" s="91">
        <f t="shared" si="11"/>
        <v>-7.9342158042519051</v>
      </c>
      <c r="I51" s="91"/>
      <c r="J51" s="91">
        <f t="shared" si="11"/>
        <v>-76.923522545872729</v>
      </c>
      <c r="K51" s="91">
        <f t="shared" si="11"/>
        <v>-57.256801689844309</v>
      </c>
      <c r="L51" s="91">
        <f t="shared" si="11"/>
        <v>-31.574923547400612</v>
      </c>
      <c r="M51" s="91"/>
      <c r="N51" s="91">
        <f t="shared" si="11"/>
        <v>-57.84872881941088</v>
      </c>
      <c r="O51" s="91">
        <f t="shared" si="11"/>
        <v>-30.393053016453383</v>
      </c>
      <c r="P51" s="91"/>
      <c r="Q51" s="91"/>
      <c r="R51" s="91"/>
      <c r="S51" s="91">
        <f t="shared" si="11"/>
        <v>-22.077856563874601</v>
      </c>
      <c r="T51" s="91">
        <f t="shared" si="11"/>
        <v>-56.275422293480503</v>
      </c>
      <c r="U51" s="91">
        <f t="shared" si="11"/>
        <v>-21.108394458027711</v>
      </c>
      <c r="V51" s="91">
        <f t="shared" si="11"/>
        <v>-26.042983565107459</v>
      </c>
      <c r="W51" s="91" t="e">
        <f t="shared" si="11"/>
        <v>#DIV/0!</v>
      </c>
      <c r="X51" s="91" t="e">
        <f t="shared" si="11"/>
        <v>#DIV/0!</v>
      </c>
      <c r="Y51" s="91">
        <f t="shared" si="11"/>
        <v>-12.48054159658159</v>
      </c>
      <c r="Z51" s="91">
        <f t="shared" si="11"/>
        <v>-40.607734806629836</v>
      </c>
      <c r="AA51" s="91">
        <f t="shared" si="11"/>
        <v>-19.977593120482396</v>
      </c>
      <c r="AB51" s="91" t="e">
        <f t="shared" si="11"/>
        <v>#DIV/0!</v>
      </c>
      <c r="AC51" s="91" t="e">
        <f t="shared" si="11"/>
        <v>#DIV/0!</v>
      </c>
      <c r="AD51" s="91">
        <f t="shared" si="11"/>
        <v>-60.959615207706356</v>
      </c>
      <c r="AE51" s="91">
        <f t="shared" si="11"/>
        <v>-63.349255507147483</v>
      </c>
      <c r="AF51" s="91">
        <f t="shared" si="11"/>
        <v>-82.406104844061062</v>
      </c>
    </row>
    <row r="53" spans="1:32" x14ac:dyDescent="0.25">
      <c r="A53" s="27" t="s">
        <v>187</v>
      </c>
    </row>
    <row r="54" spans="1:32" x14ac:dyDescent="0.25">
      <c r="A54" s="1" t="s">
        <v>0</v>
      </c>
      <c r="B54" s="109" t="s">
        <v>1</v>
      </c>
      <c r="C54" s="109" t="s">
        <v>233</v>
      </c>
      <c r="D54" s="109" t="s">
        <v>2</v>
      </c>
      <c r="E54" s="109" t="s">
        <v>3</v>
      </c>
      <c r="F54" s="109" t="s">
        <v>242</v>
      </c>
      <c r="G54" s="109" t="s">
        <v>234</v>
      </c>
      <c r="H54" s="109" t="s">
        <v>254</v>
      </c>
      <c r="I54" s="109" t="s">
        <v>5</v>
      </c>
      <c r="J54" s="109" t="s">
        <v>4</v>
      </c>
      <c r="K54" s="109" t="s">
        <v>6</v>
      </c>
      <c r="L54" s="109" t="s">
        <v>7</v>
      </c>
      <c r="M54" s="109" t="s">
        <v>8</v>
      </c>
      <c r="N54" s="109" t="s">
        <v>9</v>
      </c>
      <c r="O54" s="109" t="s">
        <v>241</v>
      </c>
      <c r="P54" s="109" t="s">
        <v>10</v>
      </c>
      <c r="Q54" s="109" t="s">
        <v>11</v>
      </c>
      <c r="R54" s="109" t="s">
        <v>235</v>
      </c>
      <c r="S54" s="109" t="s">
        <v>253</v>
      </c>
      <c r="T54" s="109" t="s">
        <v>12</v>
      </c>
      <c r="U54" s="109" t="s">
        <v>236</v>
      </c>
      <c r="V54" s="109" t="s">
        <v>237</v>
      </c>
      <c r="W54" s="109" t="s">
        <v>240</v>
      </c>
      <c r="X54" s="109" t="s">
        <v>13</v>
      </c>
      <c r="Y54" s="109" t="s">
        <v>14</v>
      </c>
      <c r="Z54" s="109" t="s">
        <v>15</v>
      </c>
      <c r="AA54" s="109" t="s">
        <v>16</v>
      </c>
      <c r="AB54" s="109" t="s">
        <v>17</v>
      </c>
      <c r="AC54" s="108" t="s">
        <v>238</v>
      </c>
      <c r="AD54" s="108" t="s">
        <v>239</v>
      </c>
      <c r="AE54" s="108" t="s">
        <v>18</v>
      </c>
      <c r="AF54" s="109" t="s">
        <v>19</v>
      </c>
    </row>
    <row r="55" spans="1:32" x14ac:dyDescent="0.25">
      <c r="A55" s="92" t="s">
        <v>192</v>
      </c>
      <c r="B55" s="92"/>
      <c r="C55" s="92">
        <f>2840+2346</f>
        <v>5186</v>
      </c>
      <c r="D55" s="92"/>
      <c r="E55" s="92"/>
      <c r="F55" s="92"/>
      <c r="G55" s="92"/>
      <c r="H55" s="92">
        <f>42+1853</f>
        <v>1895</v>
      </c>
      <c r="I55" s="92"/>
      <c r="J55" s="92">
        <v>104.72</v>
      </c>
      <c r="K55" s="92">
        <f>2461.81+98.44+954.04</f>
        <v>3514.29</v>
      </c>
      <c r="L55" s="92"/>
      <c r="M55" s="92"/>
      <c r="N55" s="92">
        <f>521+53+4268</f>
        <v>4842</v>
      </c>
      <c r="O55" s="92"/>
      <c r="P55" s="92"/>
      <c r="Q55" s="92"/>
      <c r="R55" s="92"/>
      <c r="S55" s="92"/>
      <c r="T55" s="92"/>
      <c r="U55" s="92">
        <v>189</v>
      </c>
      <c r="V55" s="92"/>
      <c r="W55" s="92"/>
      <c r="X55" s="92"/>
      <c r="Y55" s="92"/>
      <c r="Z55" s="92"/>
      <c r="AA55" s="92">
        <f>2757+853</f>
        <v>3610</v>
      </c>
      <c r="AB55" s="92"/>
      <c r="AC55" s="92"/>
      <c r="AD55" s="92"/>
      <c r="AE55" s="92"/>
      <c r="AF55" s="92">
        <f>278+2238</f>
        <v>2516</v>
      </c>
    </row>
    <row r="56" spans="1:32" x14ac:dyDescent="0.25">
      <c r="A56" s="92" t="s">
        <v>26</v>
      </c>
      <c r="B56" s="92"/>
      <c r="C56" s="92">
        <f>169+65</f>
        <v>234</v>
      </c>
      <c r="D56" s="92"/>
      <c r="E56" s="92"/>
      <c r="F56" s="92"/>
      <c r="G56" s="92"/>
      <c r="H56" s="92">
        <f>54+985</f>
        <v>1039</v>
      </c>
      <c r="I56" s="92"/>
      <c r="J56" s="92">
        <v>64.89</v>
      </c>
      <c r="K56" s="92">
        <f>520.53+258.04+602.36</f>
        <v>1380.9299999999998</v>
      </c>
      <c r="L56" s="92"/>
      <c r="M56" s="92"/>
      <c r="N56" s="92">
        <f>347+3463</f>
        <v>3810</v>
      </c>
      <c r="O56" s="92"/>
      <c r="P56" s="92"/>
      <c r="Q56" s="92"/>
      <c r="R56" s="92"/>
      <c r="S56" s="92"/>
      <c r="T56" s="92"/>
      <c r="U56" s="92">
        <v>58</v>
      </c>
      <c r="V56" s="92"/>
      <c r="W56" s="92"/>
      <c r="X56" s="92"/>
      <c r="Y56" s="92"/>
      <c r="Z56" s="92"/>
      <c r="AA56" s="92">
        <f>2256+700</f>
        <v>2956</v>
      </c>
      <c r="AB56" s="92"/>
      <c r="AC56" s="92"/>
      <c r="AD56" s="92"/>
      <c r="AE56" s="92"/>
      <c r="AF56" s="92">
        <f>-653+1693</f>
        <v>1040</v>
      </c>
    </row>
    <row r="57" spans="1:32" x14ac:dyDescent="0.25">
      <c r="A57" s="92" t="s">
        <v>267</v>
      </c>
      <c r="B57" s="92"/>
      <c r="C57" s="92">
        <f>426+519</f>
        <v>945</v>
      </c>
      <c r="D57" s="92"/>
      <c r="E57" s="92"/>
      <c r="F57" s="92"/>
      <c r="G57" s="92"/>
      <c r="H57" s="92">
        <v>76</v>
      </c>
      <c r="I57" s="92"/>
      <c r="J57" s="92">
        <v>10.14</v>
      </c>
      <c r="K57" s="92">
        <f>363.93-2.03+26.43</f>
        <v>388.33000000000004</v>
      </c>
      <c r="L57" s="92"/>
      <c r="M57" s="92"/>
      <c r="N57" s="92">
        <v>885</v>
      </c>
      <c r="O57" s="92"/>
      <c r="P57" s="92"/>
      <c r="Q57" s="92"/>
      <c r="R57" s="92"/>
      <c r="S57" s="92"/>
      <c r="T57" s="92"/>
      <c r="U57" s="92">
        <v>-30</v>
      </c>
      <c r="V57" s="92"/>
      <c r="W57" s="92"/>
      <c r="X57" s="92"/>
      <c r="Y57" s="92"/>
      <c r="Z57" s="92"/>
      <c r="AA57" s="92">
        <f>82+454</f>
        <v>536</v>
      </c>
      <c r="AB57" s="92"/>
      <c r="AC57" s="92"/>
      <c r="AD57" s="92"/>
      <c r="AE57" s="92"/>
      <c r="AF57" s="92">
        <v>-68</v>
      </c>
    </row>
    <row r="58" spans="1:32" x14ac:dyDescent="0.25">
      <c r="A58" s="92" t="s">
        <v>268</v>
      </c>
      <c r="B58" s="92"/>
      <c r="C58" s="92">
        <f>1036+1750</f>
        <v>2786</v>
      </c>
      <c r="D58" s="92"/>
      <c r="E58" s="92"/>
      <c r="F58" s="92"/>
      <c r="G58" s="92"/>
      <c r="H58" s="92">
        <f>18+2589</f>
        <v>2607</v>
      </c>
      <c r="I58" s="92"/>
      <c r="J58" s="92">
        <v>115.55</v>
      </c>
      <c r="K58" s="92">
        <f>898.09+37.02+171.49</f>
        <v>1106.5999999999999</v>
      </c>
      <c r="L58" s="92"/>
      <c r="M58" s="92"/>
      <c r="N58" s="92">
        <f>76+23+934</f>
        <v>1033</v>
      </c>
      <c r="O58" s="92"/>
      <c r="P58" s="92"/>
      <c r="Q58" s="92"/>
      <c r="R58" s="92"/>
      <c r="S58" s="92"/>
      <c r="T58" s="92"/>
      <c r="U58" s="92">
        <v>202</v>
      </c>
      <c r="V58" s="92"/>
      <c r="W58" s="92"/>
      <c r="X58" s="92"/>
      <c r="Y58" s="92"/>
      <c r="Z58" s="92"/>
      <c r="AA58" s="92">
        <f>919+211</f>
        <v>1130</v>
      </c>
      <c r="AB58" s="92"/>
      <c r="AC58" s="92"/>
      <c r="AD58" s="92"/>
      <c r="AE58" s="92"/>
      <c r="AF58" s="92">
        <f>97.41+870.75</f>
        <v>968.16</v>
      </c>
    </row>
    <row r="59" spans="1:32" x14ac:dyDescent="0.25">
      <c r="A59" s="92" t="s">
        <v>269</v>
      </c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</row>
    <row r="60" spans="1:32" x14ac:dyDescent="0.25">
      <c r="A60" s="92" t="s">
        <v>265</v>
      </c>
      <c r="B60" s="92"/>
      <c r="C60" s="92">
        <f t="shared" ref="C60:AF60" si="12">C55-C56-C57-C58-C59</f>
        <v>1221</v>
      </c>
      <c r="D60" s="92"/>
      <c r="E60" s="92"/>
      <c r="F60" s="92"/>
      <c r="G60" s="92"/>
      <c r="H60" s="92">
        <f t="shared" si="12"/>
        <v>-1827</v>
      </c>
      <c r="I60" s="92"/>
      <c r="J60" s="92">
        <f t="shared" si="12"/>
        <v>-85.86</v>
      </c>
      <c r="K60" s="92">
        <f t="shared" si="12"/>
        <v>638.43000000000029</v>
      </c>
      <c r="L60" s="92"/>
      <c r="M60" s="92"/>
      <c r="N60" s="92">
        <f t="shared" si="12"/>
        <v>-886</v>
      </c>
      <c r="O60" s="92"/>
      <c r="P60" s="92"/>
      <c r="Q60" s="92"/>
      <c r="R60" s="92"/>
      <c r="S60" s="92"/>
      <c r="T60" s="92"/>
      <c r="U60" s="92">
        <f t="shared" si="12"/>
        <v>-41</v>
      </c>
      <c r="V60" s="92">
        <f t="shared" si="12"/>
        <v>0</v>
      </c>
      <c r="W60" s="92">
        <f t="shared" si="12"/>
        <v>0</v>
      </c>
      <c r="X60" s="92">
        <f t="shared" si="12"/>
        <v>0</v>
      </c>
      <c r="Y60" s="92">
        <f t="shared" si="12"/>
        <v>0</v>
      </c>
      <c r="Z60" s="92">
        <f t="shared" si="12"/>
        <v>0</v>
      </c>
      <c r="AA60" s="92">
        <f t="shared" si="12"/>
        <v>-1012</v>
      </c>
      <c r="AB60" s="92">
        <f t="shared" si="12"/>
        <v>0</v>
      </c>
      <c r="AC60" s="92">
        <f t="shared" si="12"/>
        <v>0</v>
      </c>
      <c r="AD60" s="92">
        <f t="shared" si="12"/>
        <v>0</v>
      </c>
      <c r="AE60" s="92">
        <f t="shared" si="12"/>
        <v>0</v>
      </c>
      <c r="AF60" s="92">
        <f t="shared" si="12"/>
        <v>575.84</v>
      </c>
    </row>
    <row r="61" spans="1:32" x14ac:dyDescent="0.25">
      <c r="A61" s="92" t="s">
        <v>266</v>
      </c>
      <c r="B61" s="91"/>
      <c r="C61" s="91">
        <f t="shared" ref="C61:AF61" si="13">C60*100/C55</f>
        <v>23.544157346702661</v>
      </c>
      <c r="D61" s="91"/>
      <c r="E61" s="91"/>
      <c r="F61" s="91"/>
      <c r="G61" s="91"/>
      <c r="H61" s="91">
        <f t="shared" si="13"/>
        <v>-96.411609498680733</v>
      </c>
      <c r="I61" s="91"/>
      <c r="J61" s="91">
        <f t="shared" si="13"/>
        <v>-81.99006875477464</v>
      </c>
      <c r="K61" s="91">
        <f t="shared" si="13"/>
        <v>18.166685162579078</v>
      </c>
      <c r="L61" s="91"/>
      <c r="M61" s="91"/>
      <c r="N61" s="91">
        <f t="shared" si="13"/>
        <v>-18.298223874432054</v>
      </c>
      <c r="O61" s="91"/>
      <c r="P61" s="91"/>
      <c r="Q61" s="91"/>
      <c r="R61" s="91"/>
      <c r="S61" s="91"/>
      <c r="T61" s="91"/>
      <c r="U61" s="91">
        <f t="shared" si="13"/>
        <v>-21.693121693121693</v>
      </c>
      <c r="V61" s="91" t="e">
        <f t="shared" si="13"/>
        <v>#DIV/0!</v>
      </c>
      <c r="W61" s="91" t="e">
        <f t="shared" si="13"/>
        <v>#DIV/0!</v>
      </c>
      <c r="X61" s="91" t="e">
        <f t="shared" si="13"/>
        <v>#DIV/0!</v>
      </c>
      <c r="Y61" s="91" t="e">
        <f t="shared" si="13"/>
        <v>#DIV/0!</v>
      </c>
      <c r="Z61" s="91" t="e">
        <f t="shared" si="13"/>
        <v>#DIV/0!</v>
      </c>
      <c r="AA61" s="91">
        <f t="shared" si="13"/>
        <v>-28.033240997229917</v>
      </c>
      <c r="AB61" s="91" t="e">
        <f t="shared" si="13"/>
        <v>#DIV/0!</v>
      </c>
      <c r="AC61" s="91" t="e">
        <f t="shared" si="13"/>
        <v>#DIV/0!</v>
      </c>
      <c r="AD61" s="91" t="e">
        <f t="shared" si="13"/>
        <v>#DIV/0!</v>
      </c>
      <c r="AE61" s="91" t="e">
        <f t="shared" si="13"/>
        <v>#DIV/0!</v>
      </c>
      <c r="AF61" s="91">
        <f t="shared" si="13"/>
        <v>22.887122416534183</v>
      </c>
    </row>
    <row r="63" spans="1:32" x14ac:dyDescent="0.25">
      <c r="A63" s="27" t="s">
        <v>246</v>
      </c>
    </row>
    <row r="64" spans="1:32" x14ac:dyDescent="0.25">
      <c r="A64" s="1" t="s">
        <v>0</v>
      </c>
      <c r="B64" s="109" t="s">
        <v>1</v>
      </c>
      <c r="C64" s="109" t="s">
        <v>233</v>
      </c>
      <c r="D64" s="109" t="s">
        <v>2</v>
      </c>
      <c r="E64" s="109" t="s">
        <v>3</v>
      </c>
      <c r="F64" s="109" t="s">
        <v>242</v>
      </c>
      <c r="G64" s="109" t="s">
        <v>234</v>
      </c>
      <c r="H64" s="109" t="s">
        <v>254</v>
      </c>
      <c r="I64" s="109" t="s">
        <v>5</v>
      </c>
      <c r="J64" s="109" t="s">
        <v>4</v>
      </c>
      <c r="K64" s="109" t="s">
        <v>6</v>
      </c>
      <c r="L64" s="109" t="s">
        <v>7</v>
      </c>
      <c r="M64" s="109" t="s">
        <v>8</v>
      </c>
      <c r="N64" s="109" t="s">
        <v>9</v>
      </c>
      <c r="O64" s="109" t="s">
        <v>241</v>
      </c>
      <c r="P64" s="109" t="s">
        <v>10</v>
      </c>
      <c r="Q64" s="109" t="s">
        <v>11</v>
      </c>
      <c r="R64" s="109" t="s">
        <v>235</v>
      </c>
      <c r="S64" s="109" t="s">
        <v>253</v>
      </c>
      <c r="T64" s="109" t="s">
        <v>12</v>
      </c>
      <c r="U64" s="109" t="s">
        <v>236</v>
      </c>
      <c r="V64" s="109" t="s">
        <v>237</v>
      </c>
      <c r="W64" s="109" t="s">
        <v>240</v>
      </c>
      <c r="X64" s="109" t="s">
        <v>13</v>
      </c>
      <c r="Y64" s="109" t="s">
        <v>14</v>
      </c>
      <c r="Z64" s="109" t="s">
        <v>15</v>
      </c>
      <c r="AA64" s="109" t="s">
        <v>16</v>
      </c>
      <c r="AB64" s="109" t="s">
        <v>17</v>
      </c>
      <c r="AC64" s="108" t="s">
        <v>238</v>
      </c>
      <c r="AD64" s="108" t="s">
        <v>239</v>
      </c>
      <c r="AE64" s="108" t="s">
        <v>18</v>
      </c>
      <c r="AF64" s="109" t="s">
        <v>19</v>
      </c>
    </row>
    <row r="65" spans="1:32" x14ac:dyDescent="0.25">
      <c r="A65" s="92" t="s">
        <v>192</v>
      </c>
      <c r="B65" s="92"/>
      <c r="C65" s="92"/>
      <c r="D65" s="92">
        <v>329432</v>
      </c>
      <c r="E65" s="92"/>
      <c r="F65" s="92"/>
      <c r="G65" s="92"/>
      <c r="H65" s="92">
        <v>529</v>
      </c>
      <c r="I65" s="92"/>
      <c r="J65" s="92"/>
      <c r="K65" s="92">
        <v>5198.2700000000004</v>
      </c>
      <c r="L65" s="92">
        <v>25034</v>
      </c>
      <c r="M65" s="92"/>
      <c r="N65" s="92">
        <v>6410</v>
      </c>
      <c r="O65" s="92"/>
      <c r="P65" s="92"/>
      <c r="Q65" s="92"/>
      <c r="R65" s="92"/>
      <c r="S65" s="92"/>
      <c r="T65" s="92">
        <v>22116.59</v>
      </c>
      <c r="U65" s="92"/>
      <c r="V65" s="92"/>
      <c r="W65" s="92"/>
      <c r="X65" s="92"/>
      <c r="Y65" s="92">
        <v>13279</v>
      </c>
      <c r="Z65" s="92"/>
      <c r="AA65" s="92"/>
      <c r="AB65" s="92"/>
      <c r="AC65" s="92"/>
      <c r="AD65" s="92">
        <v>28017</v>
      </c>
      <c r="AE65" s="92">
        <v>2775</v>
      </c>
      <c r="AF65" s="92">
        <v>5284.89</v>
      </c>
    </row>
    <row r="66" spans="1:32" x14ac:dyDescent="0.25">
      <c r="A66" s="92" t="s">
        <v>26</v>
      </c>
      <c r="B66" s="92"/>
      <c r="C66" s="92"/>
      <c r="D66" s="92">
        <v>339699</v>
      </c>
      <c r="E66" s="92"/>
      <c r="F66" s="92"/>
      <c r="G66" s="92"/>
      <c r="H66" s="92">
        <v>174</v>
      </c>
      <c r="I66" s="92"/>
      <c r="J66" s="92"/>
      <c r="K66" s="92">
        <v>1773.27</v>
      </c>
      <c r="L66" s="92">
        <v>14697</v>
      </c>
      <c r="M66" s="92"/>
      <c r="N66" s="92">
        <v>3271</v>
      </c>
      <c r="O66" s="92"/>
      <c r="P66" s="92"/>
      <c r="Q66" s="92"/>
      <c r="R66" s="92"/>
      <c r="S66" s="92"/>
      <c r="T66" s="92">
        <v>2741.03</v>
      </c>
      <c r="U66" s="92"/>
      <c r="V66" s="92"/>
      <c r="W66" s="92"/>
      <c r="X66" s="92"/>
      <c r="Y66" s="92">
        <v>17458</v>
      </c>
      <c r="Z66" s="92"/>
      <c r="AA66" s="92"/>
      <c r="AB66" s="92"/>
      <c r="AC66" s="92"/>
      <c r="AD66" s="92">
        <v>33012</v>
      </c>
      <c r="AE66" s="92">
        <v>-9175</v>
      </c>
      <c r="AF66" s="92">
        <v>-1216.42</v>
      </c>
    </row>
    <row r="67" spans="1:32" x14ac:dyDescent="0.25">
      <c r="A67" s="92" t="s">
        <v>267</v>
      </c>
      <c r="B67" s="92"/>
      <c r="C67" s="92"/>
      <c r="D67" s="92">
        <v>-14359</v>
      </c>
      <c r="E67" s="92"/>
      <c r="F67" s="92"/>
      <c r="G67" s="92"/>
      <c r="H67" s="92"/>
      <c r="I67" s="92"/>
      <c r="J67" s="92"/>
      <c r="K67" s="92">
        <v>-2718.38</v>
      </c>
      <c r="L67" s="92">
        <v>-9034</v>
      </c>
      <c r="M67" s="92"/>
      <c r="N67" s="92">
        <v>-3068</v>
      </c>
      <c r="O67" s="92"/>
      <c r="P67" s="92"/>
      <c r="Q67" s="92"/>
      <c r="R67" s="92"/>
      <c r="S67" s="92"/>
      <c r="T67" s="92">
        <v>-379.18</v>
      </c>
      <c r="U67" s="92"/>
      <c r="V67" s="92"/>
      <c r="W67" s="92"/>
      <c r="X67" s="92"/>
      <c r="Y67" s="92">
        <v>-4744</v>
      </c>
      <c r="Z67" s="92"/>
      <c r="AA67" s="92"/>
      <c r="AB67" s="92"/>
      <c r="AC67" s="92"/>
      <c r="AD67" s="92">
        <v>1069</v>
      </c>
      <c r="AE67" s="92">
        <v>1563</v>
      </c>
      <c r="AF67" s="92">
        <v>-2444.42</v>
      </c>
    </row>
    <row r="68" spans="1:32" x14ac:dyDescent="0.25">
      <c r="A68" s="92" t="s">
        <v>268</v>
      </c>
      <c r="B68" s="92"/>
      <c r="C68" s="92"/>
      <c r="D68" s="92">
        <v>20490</v>
      </c>
      <c r="E68" s="92"/>
      <c r="F68" s="92"/>
      <c r="G68" s="92"/>
      <c r="H68" s="92">
        <v>156</v>
      </c>
      <c r="I68" s="92"/>
      <c r="J68" s="92"/>
      <c r="K68" s="92">
        <v>5834.82</v>
      </c>
      <c r="L68" s="92">
        <v>23506</v>
      </c>
      <c r="M68" s="92"/>
      <c r="N68" s="92">
        <v>2140</v>
      </c>
      <c r="O68" s="92"/>
      <c r="P68" s="92"/>
      <c r="Q68" s="92"/>
      <c r="R68" s="92"/>
      <c r="S68" s="92"/>
      <c r="T68" s="92">
        <v>760.46</v>
      </c>
      <c r="U68" s="92"/>
      <c r="V68" s="92"/>
      <c r="W68" s="92"/>
      <c r="X68" s="92"/>
      <c r="Y68" s="92">
        <v>7493</v>
      </c>
      <c r="Z68" s="92"/>
      <c r="AA68" s="92"/>
      <c r="AB68" s="92"/>
      <c r="AC68" s="92"/>
      <c r="AD68" s="92">
        <v>5732</v>
      </c>
      <c r="AE68" s="92">
        <v>340</v>
      </c>
      <c r="AF68" s="92">
        <v>2632.54</v>
      </c>
    </row>
    <row r="69" spans="1:32" x14ac:dyDescent="0.25">
      <c r="A69" s="92" t="s">
        <v>269</v>
      </c>
      <c r="B69" s="92"/>
      <c r="C69" s="92"/>
      <c r="D69" s="92">
        <v>-4100</v>
      </c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</row>
    <row r="70" spans="1:32" x14ac:dyDescent="0.25">
      <c r="A70" s="92" t="s">
        <v>265</v>
      </c>
      <c r="B70" s="92"/>
      <c r="C70" s="92"/>
      <c r="D70" s="92">
        <f t="shared" ref="D70:AF70" si="14">D65-D66-D67-D68-D69</f>
        <v>-12298</v>
      </c>
      <c r="E70" s="92"/>
      <c r="F70" s="92"/>
      <c r="G70" s="92"/>
      <c r="H70" s="92">
        <f t="shared" si="14"/>
        <v>199</v>
      </c>
      <c r="I70" s="92"/>
      <c r="J70" s="92"/>
      <c r="K70" s="92">
        <f t="shared" si="14"/>
        <v>308.56000000000131</v>
      </c>
      <c r="L70" s="92">
        <f t="shared" si="14"/>
        <v>-4135</v>
      </c>
      <c r="M70" s="92">
        <f t="shared" si="14"/>
        <v>0</v>
      </c>
      <c r="N70" s="92">
        <f t="shared" si="14"/>
        <v>4067</v>
      </c>
      <c r="O70" s="92"/>
      <c r="P70" s="92"/>
      <c r="Q70" s="92"/>
      <c r="R70" s="92"/>
      <c r="S70" s="92"/>
      <c r="T70" s="92">
        <f t="shared" si="14"/>
        <v>18994.280000000002</v>
      </c>
      <c r="U70" s="92"/>
      <c r="V70" s="92">
        <f t="shared" si="14"/>
        <v>0</v>
      </c>
      <c r="W70" s="92">
        <f t="shared" si="14"/>
        <v>0</v>
      </c>
      <c r="X70" s="92">
        <f t="shared" si="14"/>
        <v>0</v>
      </c>
      <c r="Y70" s="92">
        <f t="shared" si="14"/>
        <v>-6928</v>
      </c>
      <c r="Z70" s="92">
        <f t="shared" si="14"/>
        <v>0</v>
      </c>
      <c r="AA70" s="92"/>
      <c r="AB70" s="92">
        <f t="shared" si="14"/>
        <v>0</v>
      </c>
      <c r="AC70" s="92">
        <f t="shared" si="14"/>
        <v>0</v>
      </c>
      <c r="AD70" s="92">
        <f t="shared" si="14"/>
        <v>-11796</v>
      </c>
      <c r="AE70" s="92">
        <f t="shared" si="14"/>
        <v>10047</v>
      </c>
      <c r="AF70" s="92">
        <f t="shared" si="14"/>
        <v>6313.19</v>
      </c>
    </row>
    <row r="71" spans="1:32" x14ac:dyDescent="0.25">
      <c r="A71" s="92" t="s">
        <v>266</v>
      </c>
      <c r="B71" s="91"/>
      <c r="C71" s="91"/>
      <c r="D71" s="91">
        <f t="shared" ref="D71:AF71" si="15">D70*100/D65</f>
        <v>-3.7330921100560968</v>
      </c>
      <c r="E71" s="91"/>
      <c r="F71" s="91"/>
      <c r="G71" s="91"/>
      <c r="H71" s="91">
        <f t="shared" si="15"/>
        <v>37.618147448015122</v>
      </c>
      <c r="I71" s="91"/>
      <c r="J71" s="91"/>
      <c r="K71" s="91">
        <f t="shared" si="15"/>
        <v>5.9358209558180182</v>
      </c>
      <c r="L71" s="91">
        <f t="shared" si="15"/>
        <v>-16.517536150834864</v>
      </c>
      <c r="M71" s="91" t="e">
        <f t="shared" si="15"/>
        <v>#DIV/0!</v>
      </c>
      <c r="N71" s="91">
        <f t="shared" si="15"/>
        <v>63.447737909516384</v>
      </c>
      <c r="O71" s="91"/>
      <c r="P71" s="91"/>
      <c r="Q71" s="91"/>
      <c r="R71" s="91"/>
      <c r="S71" s="91"/>
      <c r="T71" s="91">
        <f t="shared" si="15"/>
        <v>85.882498160882861</v>
      </c>
      <c r="U71" s="91"/>
      <c r="V71" s="91" t="e">
        <f t="shared" si="15"/>
        <v>#DIV/0!</v>
      </c>
      <c r="W71" s="91" t="e">
        <f t="shared" si="15"/>
        <v>#DIV/0!</v>
      </c>
      <c r="X71" s="91" t="e">
        <f t="shared" si="15"/>
        <v>#DIV/0!</v>
      </c>
      <c r="Y71" s="91">
        <f t="shared" si="15"/>
        <v>-52.172603358686651</v>
      </c>
      <c r="Z71" s="91" t="e">
        <f t="shared" si="15"/>
        <v>#DIV/0!</v>
      </c>
      <c r="AA71" s="91"/>
      <c r="AB71" s="91" t="e">
        <f t="shared" si="15"/>
        <v>#DIV/0!</v>
      </c>
      <c r="AC71" s="91" t="e">
        <f t="shared" si="15"/>
        <v>#DIV/0!</v>
      </c>
      <c r="AD71" s="91">
        <f t="shared" si="15"/>
        <v>-42.103008887461186</v>
      </c>
      <c r="AE71" s="91">
        <f t="shared" si="15"/>
        <v>362.05405405405406</v>
      </c>
      <c r="AF71" s="91">
        <f t="shared" si="15"/>
        <v>119.45735862052</v>
      </c>
    </row>
    <row r="73" spans="1:32" x14ac:dyDescent="0.25">
      <c r="A73" s="27" t="s">
        <v>188</v>
      </c>
    </row>
    <row r="74" spans="1:32" x14ac:dyDescent="0.25">
      <c r="A74" s="1" t="s">
        <v>0</v>
      </c>
      <c r="B74" s="109" t="s">
        <v>1</v>
      </c>
      <c r="C74" s="109" t="s">
        <v>233</v>
      </c>
      <c r="D74" s="109" t="s">
        <v>2</v>
      </c>
      <c r="E74" s="109" t="s">
        <v>3</v>
      </c>
      <c r="F74" s="109" t="s">
        <v>242</v>
      </c>
      <c r="G74" s="109" t="s">
        <v>234</v>
      </c>
      <c r="H74" s="109" t="s">
        <v>254</v>
      </c>
      <c r="I74" s="109" t="s">
        <v>5</v>
      </c>
      <c r="J74" s="109" t="s">
        <v>4</v>
      </c>
      <c r="K74" s="109" t="s">
        <v>6</v>
      </c>
      <c r="L74" s="109" t="s">
        <v>7</v>
      </c>
      <c r="M74" s="109" t="s">
        <v>8</v>
      </c>
      <c r="N74" s="109" t="s">
        <v>9</v>
      </c>
      <c r="O74" s="109" t="s">
        <v>241</v>
      </c>
      <c r="P74" s="109" t="s">
        <v>10</v>
      </c>
      <c r="Q74" s="109" t="s">
        <v>11</v>
      </c>
      <c r="R74" s="109" t="s">
        <v>235</v>
      </c>
      <c r="S74" s="109" t="s">
        <v>253</v>
      </c>
      <c r="T74" s="109" t="s">
        <v>12</v>
      </c>
      <c r="U74" s="109" t="s">
        <v>236</v>
      </c>
      <c r="V74" s="109" t="s">
        <v>237</v>
      </c>
      <c r="W74" s="109" t="s">
        <v>240</v>
      </c>
      <c r="X74" s="109" t="s">
        <v>13</v>
      </c>
      <c r="Y74" s="109" t="s">
        <v>14</v>
      </c>
      <c r="Z74" s="109" t="s">
        <v>15</v>
      </c>
      <c r="AA74" s="109" t="s">
        <v>16</v>
      </c>
      <c r="AB74" s="109" t="s">
        <v>17</v>
      </c>
      <c r="AC74" s="108" t="s">
        <v>238</v>
      </c>
      <c r="AD74" s="108" t="s">
        <v>239</v>
      </c>
      <c r="AE74" s="108" t="s">
        <v>18</v>
      </c>
      <c r="AF74" s="109" t="s">
        <v>19</v>
      </c>
    </row>
    <row r="75" spans="1:32" x14ac:dyDescent="0.25">
      <c r="A75" s="92" t="s">
        <v>192</v>
      </c>
      <c r="B75" s="92"/>
      <c r="C75" s="92"/>
      <c r="D75" s="92"/>
      <c r="E75" s="92"/>
      <c r="F75" s="92"/>
      <c r="G75" s="92"/>
      <c r="H75" s="92"/>
      <c r="I75" s="92"/>
      <c r="J75" s="92"/>
      <c r="K75" s="92">
        <v>223.17</v>
      </c>
      <c r="L75" s="92">
        <v>0</v>
      </c>
      <c r="M75" s="92"/>
      <c r="N75" s="92"/>
      <c r="O75" s="92"/>
      <c r="P75" s="92"/>
      <c r="Q75" s="92"/>
      <c r="R75" s="92"/>
      <c r="S75" s="92"/>
      <c r="T75" s="92">
        <v>3230.18</v>
      </c>
      <c r="U75" s="92"/>
      <c r="V75" s="92"/>
      <c r="W75" s="92"/>
      <c r="X75" s="92"/>
      <c r="Y75" s="92">
        <v>0</v>
      </c>
      <c r="Z75" s="92"/>
      <c r="AA75" s="92"/>
      <c r="AB75" s="92"/>
      <c r="AC75" s="92"/>
      <c r="AD75" s="92">
        <v>7922</v>
      </c>
      <c r="AE75">
        <v>867</v>
      </c>
      <c r="AF75" s="92"/>
    </row>
    <row r="76" spans="1:32" x14ac:dyDescent="0.25">
      <c r="A76" s="92" t="s">
        <v>26</v>
      </c>
      <c r="B76" s="92"/>
      <c r="C76" s="92"/>
      <c r="D76" s="92"/>
      <c r="E76" s="92"/>
      <c r="F76" s="92"/>
      <c r="G76" s="92"/>
      <c r="H76" s="92"/>
      <c r="I76" s="92"/>
      <c r="J76" s="92"/>
      <c r="K76" s="92">
        <v>125.25</v>
      </c>
      <c r="L76" s="92">
        <v>-8</v>
      </c>
      <c r="M76" s="92"/>
      <c r="N76" s="92"/>
      <c r="O76" s="92"/>
      <c r="P76" s="92"/>
      <c r="Q76" s="92"/>
      <c r="R76" s="92"/>
      <c r="S76" s="92"/>
      <c r="T76" s="92">
        <v>3199.63</v>
      </c>
      <c r="U76" s="92"/>
      <c r="V76" s="92"/>
      <c r="W76" s="92"/>
      <c r="X76" s="92"/>
      <c r="Y76" s="92">
        <v>0</v>
      </c>
      <c r="Z76" s="92"/>
      <c r="AA76" s="92"/>
      <c r="AB76" s="92"/>
      <c r="AC76" s="92"/>
      <c r="AD76" s="92">
        <v>1292</v>
      </c>
      <c r="AE76" s="92">
        <v>1149</v>
      </c>
      <c r="AF76" s="92"/>
    </row>
    <row r="77" spans="1:32" x14ac:dyDescent="0.25">
      <c r="A77" s="92" t="s">
        <v>267</v>
      </c>
      <c r="B77" s="92"/>
      <c r="C77" s="92"/>
      <c r="D77" s="92"/>
      <c r="E77" s="92"/>
      <c r="F77" s="92"/>
      <c r="G77" s="92"/>
      <c r="H77" s="92"/>
      <c r="I77" s="92"/>
      <c r="J77" s="92"/>
      <c r="K77" s="92">
        <v>0.18</v>
      </c>
      <c r="L77" s="92">
        <v>-21</v>
      </c>
      <c r="M77" s="92"/>
      <c r="N77" s="92"/>
      <c r="O77" s="92"/>
      <c r="P77" s="92"/>
      <c r="Q77" s="92"/>
      <c r="R77" s="92"/>
      <c r="S77" s="92"/>
      <c r="T77" s="92">
        <v>245.22</v>
      </c>
      <c r="U77" s="92"/>
      <c r="V77" s="92"/>
      <c r="W77" s="92"/>
      <c r="X77" s="92"/>
      <c r="Y77" s="92">
        <v>1</v>
      </c>
      <c r="Z77" s="92"/>
      <c r="AA77" s="92"/>
      <c r="AB77" s="92"/>
      <c r="AC77" s="92"/>
      <c r="AD77" s="92">
        <v>340</v>
      </c>
      <c r="AE77" s="92">
        <v>74</v>
      </c>
      <c r="AF77" s="92"/>
    </row>
    <row r="78" spans="1:32" x14ac:dyDescent="0.25">
      <c r="A78" s="92" t="s">
        <v>268</v>
      </c>
      <c r="B78" s="92"/>
      <c r="C78" s="92"/>
      <c r="D78" s="92"/>
      <c r="E78" s="92"/>
      <c r="F78" s="92"/>
      <c r="G78" s="92"/>
      <c r="H78" s="92"/>
      <c r="I78" s="92"/>
      <c r="J78" s="92"/>
      <c r="K78" s="92">
        <v>19.690000000000001</v>
      </c>
      <c r="L78" s="92">
        <v>103</v>
      </c>
      <c r="M78" s="92"/>
      <c r="N78" s="92"/>
      <c r="O78" s="92"/>
      <c r="P78" s="92"/>
      <c r="Q78" s="92"/>
      <c r="R78" s="92"/>
      <c r="S78" s="92"/>
      <c r="T78" s="92">
        <v>907.53</v>
      </c>
      <c r="U78" s="92"/>
      <c r="V78" s="92"/>
      <c r="W78" s="92"/>
      <c r="X78" s="92"/>
      <c r="Y78" s="92"/>
      <c r="Z78" s="92"/>
      <c r="AA78" s="92"/>
      <c r="AB78" s="92"/>
      <c r="AC78" s="92"/>
      <c r="AD78" s="92">
        <v>2810</v>
      </c>
      <c r="AE78" s="92">
        <v>1640</v>
      </c>
      <c r="AF78" s="92"/>
    </row>
    <row r="79" spans="1:32" x14ac:dyDescent="0.25">
      <c r="A79" s="92" t="s">
        <v>269</v>
      </c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</row>
    <row r="80" spans="1:32" x14ac:dyDescent="0.25">
      <c r="A80" s="92" t="s">
        <v>265</v>
      </c>
      <c r="B80" s="92"/>
      <c r="C80" s="92"/>
      <c r="D80" s="92"/>
      <c r="E80" s="92"/>
      <c r="F80" s="92"/>
      <c r="G80" s="92"/>
      <c r="H80" s="92"/>
      <c r="I80" s="92"/>
      <c r="J80" s="92"/>
      <c r="K80" s="92">
        <f t="shared" ref="K80:AF80" si="16">K75-K76-K77-K78-K79</f>
        <v>78.049999999999983</v>
      </c>
      <c r="L80" s="92">
        <f t="shared" si="16"/>
        <v>-74</v>
      </c>
      <c r="M80" s="92">
        <f t="shared" si="16"/>
        <v>0</v>
      </c>
      <c r="N80" s="92"/>
      <c r="O80" s="92"/>
      <c r="P80" s="92"/>
      <c r="Q80" s="92"/>
      <c r="R80" s="92"/>
      <c r="S80" s="92"/>
      <c r="T80" s="92">
        <f t="shared" si="16"/>
        <v>-1122.2000000000003</v>
      </c>
      <c r="U80" s="92"/>
      <c r="V80" s="92">
        <f t="shared" si="16"/>
        <v>0</v>
      </c>
      <c r="W80" s="92">
        <f t="shared" si="16"/>
        <v>0</v>
      </c>
      <c r="X80" s="92">
        <f t="shared" si="16"/>
        <v>0</v>
      </c>
      <c r="Y80" s="92">
        <f t="shared" si="16"/>
        <v>-1</v>
      </c>
      <c r="Z80" s="92">
        <f t="shared" si="16"/>
        <v>0</v>
      </c>
      <c r="AA80" s="92"/>
      <c r="AB80" s="92">
        <f t="shared" si="16"/>
        <v>0</v>
      </c>
      <c r="AC80" s="92">
        <f t="shared" si="16"/>
        <v>0</v>
      </c>
      <c r="AD80" s="92">
        <f t="shared" si="16"/>
        <v>3480</v>
      </c>
      <c r="AE80" s="92">
        <f t="shared" si="16"/>
        <v>-1996</v>
      </c>
      <c r="AF80" s="92">
        <f t="shared" si="16"/>
        <v>0</v>
      </c>
    </row>
    <row r="81" spans="1:32" x14ac:dyDescent="0.25">
      <c r="A81" s="92" t="s">
        <v>266</v>
      </c>
      <c r="B81" s="91"/>
      <c r="C81" s="91"/>
      <c r="D81" s="91"/>
      <c r="E81" s="91"/>
      <c r="F81" s="91"/>
      <c r="G81" s="91"/>
      <c r="H81" s="91"/>
      <c r="I81" s="91"/>
      <c r="J81" s="91"/>
      <c r="K81" s="91">
        <f t="shared" ref="K81:AF81" si="17">K80*100/K75</f>
        <v>34.973338710400135</v>
      </c>
      <c r="L81" s="91"/>
      <c r="M81" s="91" t="e">
        <f t="shared" si="17"/>
        <v>#DIV/0!</v>
      </c>
      <c r="N81" s="91"/>
      <c r="O81" s="91"/>
      <c r="P81" s="91"/>
      <c r="Q81" s="91"/>
      <c r="R81" s="91"/>
      <c r="S81" s="91"/>
      <c r="T81" s="91">
        <f t="shared" si="17"/>
        <v>-34.74109801930544</v>
      </c>
      <c r="U81" s="91"/>
      <c r="V81" s="91" t="e">
        <f t="shared" si="17"/>
        <v>#DIV/0!</v>
      </c>
      <c r="W81" s="91" t="e">
        <f t="shared" si="17"/>
        <v>#DIV/0!</v>
      </c>
      <c r="X81" s="91" t="e">
        <f t="shared" si="17"/>
        <v>#DIV/0!</v>
      </c>
      <c r="Y81" s="91"/>
      <c r="Z81" s="91" t="e">
        <f t="shared" si="17"/>
        <v>#DIV/0!</v>
      </c>
      <c r="AA81" s="91"/>
      <c r="AB81" s="91" t="e">
        <f t="shared" si="17"/>
        <v>#DIV/0!</v>
      </c>
      <c r="AC81" s="91" t="e">
        <f t="shared" si="17"/>
        <v>#DIV/0!</v>
      </c>
      <c r="AD81" s="91">
        <f t="shared" si="17"/>
        <v>43.928300934107547</v>
      </c>
      <c r="AE81" s="91">
        <f t="shared" si="17"/>
        <v>-230.21914648212226</v>
      </c>
      <c r="AF81" s="91" t="e">
        <f t="shared" si="17"/>
        <v>#DIV/0!</v>
      </c>
    </row>
    <row r="83" spans="1:32" x14ac:dyDescent="0.25">
      <c r="A83" s="27" t="s">
        <v>189</v>
      </c>
    </row>
    <row r="84" spans="1:32" x14ac:dyDescent="0.25">
      <c r="A84" s="1" t="s">
        <v>0</v>
      </c>
      <c r="B84" s="109" t="s">
        <v>1</v>
      </c>
      <c r="C84" s="109" t="s">
        <v>233</v>
      </c>
      <c r="D84" s="109" t="s">
        <v>2</v>
      </c>
      <c r="E84" s="109" t="s">
        <v>3</v>
      </c>
      <c r="F84" s="109" t="s">
        <v>242</v>
      </c>
      <c r="G84" s="109" t="s">
        <v>234</v>
      </c>
      <c r="H84" s="109" t="s">
        <v>254</v>
      </c>
      <c r="I84" s="109" t="s">
        <v>5</v>
      </c>
      <c r="J84" s="109" t="s">
        <v>4</v>
      </c>
      <c r="K84" s="109" t="s">
        <v>6</v>
      </c>
      <c r="L84" s="109" t="s">
        <v>7</v>
      </c>
      <c r="M84" s="109" t="s">
        <v>8</v>
      </c>
      <c r="N84" s="109" t="s">
        <v>9</v>
      </c>
      <c r="O84" s="109" t="s">
        <v>241</v>
      </c>
      <c r="P84" s="109" t="s">
        <v>10</v>
      </c>
      <c r="Q84" s="109" t="s">
        <v>11</v>
      </c>
      <c r="R84" s="109" t="s">
        <v>235</v>
      </c>
      <c r="S84" s="109" t="s">
        <v>253</v>
      </c>
      <c r="T84" s="109" t="s">
        <v>12</v>
      </c>
      <c r="U84" s="109" t="s">
        <v>236</v>
      </c>
      <c r="V84" s="109" t="s">
        <v>237</v>
      </c>
      <c r="W84" s="109" t="s">
        <v>240</v>
      </c>
      <c r="X84" s="109" t="s">
        <v>13</v>
      </c>
      <c r="Y84" s="109" t="s">
        <v>14</v>
      </c>
      <c r="Z84" s="109" t="s">
        <v>15</v>
      </c>
      <c r="AA84" s="109" t="s">
        <v>16</v>
      </c>
      <c r="AB84" s="109" t="s">
        <v>17</v>
      </c>
      <c r="AC84" s="108" t="s">
        <v>238</v>
      </c>
      <c r="AD84" s="108" t="s">
        <v>239</v>
      </c>
      <c r="AE84" s="108" t="s">
        <v>18</v>
      </c>
      <c r="AF84" s="109" t="s">
        <v>19</v>
      </c>
    </row>
    <row r="85" spans="1:32" x14ac:dyDescent="0.25">
      <c r="A85" s="92" t="s">
        <v>192</v>
      </c>
      <c r="B85" s="92">
        <f t="shared" ref="B85:K89" si="18">B95-B5-B15-B25-B35-B45-B55-B65-B75</f>
        <v>778</v>
      </c>
      <c r="C85" s="92">
        <f t="shared" si="18"/>
        <v>0</v>
      </c>
      <c r="D85" s="92">
        <f t="shared" si="18"/>
        <v>0</v>
      </c>
      <c r="E85" s="92"/>
      <c r="F85" s="92"/>
      <c r="G85" s="92"/>
      <c r="H85" s="92">
        <f t="shared" si="18"/>
        <v>6285</v>
      </c>
      <c r="I85" s="92">
        <f t="shared" si="18"/>
        <v>35687.31</v>
      </c>
      <c r="J85" s="92">
        <f t="shared" si="18"/>
        <v>163.53</v>
      </c>
      <c r="K85" s="92">
        <f t="shared" si="18"/>
        <v>7378.0500000000047</v>
      </c>
      <c r="L85" s="92">
        <f>L95-L5-L15-L25-L35-L45-L55-L65-L75</f>
        <v>10534</v>
      </c>
      <c r="M85" s="92">
        <f t="shared" ref="M85:AF89" si="19">M95-M5-M15-M25-M35-M45-M55-M65-M75</f>
        <v>0</v>
      </c>
      <c r="N85" s="92">
        <f t="shared" si="19"/>
        <v>12461</v>
      </c>
      <c r="O85" s="92">
        <f t="shared" si="19"/>
        <v>294</v>
      </c>
      <c r="P85" s="92">
        <f t="shared" si="19"/>
        <v>0</v>
      </c>
      <c r="Q85" s="92">
        <f t="shared" si="19"/>
        <v>0</v>
      </c>
      <c r="R85" s="92">
        <f t="shared" si="19"/>
        <v>0</v>
      </c>
      <c r="S85" s="92">
        <f t="shared" si="19"/>
        <v>0</v>
      </c>
      <c r="T85" s="92">
        <f t="shared" si="19"/>
        <v>220530.24000000019</v>
      </c>
      <c r="U85" s="92">
        <f t="shared" si="19"/>
        <v>284</v>
      </c>
      <c r="V85" s="92">
        <f t="shared" si="19"/>
        <v>2767</v>
      </c>
      <c r="W85" s="92">
        <f t="shared" si="19"/>
        <v>0</v>
      </c>
      <c r="X85" s="92">
        <f t="shared" si="19"/>
        <v>0</v>
      </c>
      <c r="Y85" s="92">
        <f t="shared" si="19"/>
        <v>9283</v>
      </c>
      <c r="Z85" s="92">
        <f t="shared" si="19"/>
        <v>622</v>
      </c>
      <c r="AA85" s="92">
        <f t="shared" si="19"/>
        <v>0</v>
      </c>
      <c r="AB85" s="92">
        <f t="shared" si="19"/>
        <v>0</v>
      </c>
      <c r="AC85" s="92">
        <f t="shared" si="19"/>
        <v>0</v>
      </c>
      <c r="AD85" s="92">
        <f t="shared" si="19"/>
        <v>24376</v>
      </c>
      <c r="AE85" s="92">
        <f t="shared" si="19"/>
        <v>26798</v>
      </c>
      <c r="AF85" s="92">
        <f t="shared" si="19"/>
        <v>1708.88</v>
      </c>
    </row>
    <row r="86" spans="1:32" x14ac:dyDescent="0.25">
      <c r="A86" s="92" t="s">
        <v>26</v>
      </c>
      <c r="B86" s="92">
        <f t="shared" si="18"/>
        <v>658</v>
      </c>
      <c r="C86" s="92">
        <f t="shared" si="18"/>
        <v>0</v>
      </c>
      <c r="D86" s="92">
        <f t="shared" si="18"/>
        <v>0</v>
      </c>
      <c r="E86" s="92"/>
      <c r="F86" s="92"/>
      <c r="G86" s="92"/>
      <c r="H86" s="92">
        <f t="shared" si="18"/>
        <v>6181</v>
      </c>
      <c r="I86" s="92">
        <f t="shared" si="18"/>
        <v>74829.86</v>
      </c>
      <c r="J86" s="92">
        <f t="shared" si="18"/>
        <v>134.07000000000096</v>
      </c>
      <c r="K86" s="92">
        <f t="shared" si="18"/>
        <v>4389.7199999999866</v>
      </c>
      <c r="L86" s="92">
        <f t="shared" ref="L86:AA89" si="20">L96-L6-L16-L26-L36-L46-L56-L66-L76</f>
        <v>6771</v>
      </c>
      <c r="M86" s="92">
        <f t="shared" si="20"/>
        <v>0</v>
      </c>
      <c r="N86" s="92">
        <f t="shared" si="20"/>
        <v>7848</v>
      </c>
      <c r="O86" s="92">
        <f t="shared" si="20"/>
        <v>98</v>
      </c>
      <c r="P86" s="92">
        <f t="shared" si="20"/>
        <v>0</v>
      </c>
      <c r="Q86" s="92">
        <f t="shared" si="20"/>
        <v>0</v>
      </c>
      <c r="R86" s="92">
        <f t="shared" si="20"/>
        <v>0</v>
      </c>
      <c r="S86" s="92">
        <f t="shared" si="20"/>
        <v>0</v>
      </c>
      <c r="T86" s="92">
        <f t="shared" si="20"/>
        <v>192397.86000000002</v>
      </c>
      <c r="U86" s="92">
        <f t="shared" si="20"/>
        <v>293</v>
      </c>
      <c r="V86" s="92">
        <f t="shared" si="20"/>
        <v>1576</v>
      </c>
      <c r="W86" s="92">
        <f t="shared" si="20"/>
        <v>0</v>
      </c>
      <c r="X86" s="92">
        <f t="shared" si="20"/>
        <v>0</v>
      </c>
      <c r="Y86" s="92">
        <f t="shared" si="20"/>
        <v>2291</v>
      </c>
      <c r="Z86" s="92">
        <f t="shared" si="20"/>
        <v>543</v>
      </c>
      <c r="AA86" s="92">
        <f t="shared" si="20"/>
        <v>-190</v>
      </c>
      <c r="AB86" s="92">
        <f t="shared" si="19"/>
        <v>0</v>
      </c>
      <c r="AC86" s="92">
        <f t="shared" si="19"/>
        <v>0</v>
      </c>
      <c r="AD86" s="92">
        <f t="shared" si="19"/>
        <v>10937</v>
      </c>
      <c r="AE86" s="92">
        <f t="shared" si="19"/>
        <v>8766</v>
      </c>
      <c r="AF86" s="92">
        <f t="shared" si="19"/>
        <v>396.16999999999643</v>
      </c>
    </row>
    <row r="87" spans="1:32" x14ac:dyDescent="0.25">
      <c r="A87" s="92" t="s">
        <v>267</v>
      </c>
      <c r="B87" s="92">
        <f t="shared" si="18"/>
        <v>-33</v>
      </c>
      <c r="C87" s="92">
        <f t="shared" si="18"/>
        <v>0</v>
      </c>
      <c r="D87" s="92">
        <f t="shared" si="18"/>
        <v>0</v>
      </c>
      <c r="E87" s="92"/>
      <c r="F87" s="92"/>
      <c r="G87" s="92"/>
      <c r="H87" s="92">
        <f t="shared" si="18"/>
        <v>1061</v>
      </c>
      <c r="I87" s="92">
        <f t="shared" si="18"/>
        <v>-982.2</v>
      </c>
      <c r="J87" s="92">
        <f t="shared" si="18"/>
        <v>19.350000000000001</v>
      </c>
      <c r="K87" s="92">
        <f t="shared" si="18"/>
        <v>431.46000000000032</v>
      </c>
      <c r="L87" s="92">
        <f t="shared" si="20"/>
        <v>-358</v>
      </c>
      <c r="M87" s="92">
        <f t="shared" si="19"/>
        <v>0</v>
      </c>
      <c r="N87" s="92">
        <f t="shared" si="19"/>
        <v>4204</v>
      </c>
      <c r="O87" s="92">
        <f t="shared" si="19"/>
        <v>-26</v>
      </c>
      <c r="P87" s="92">
        <f t="shared" si="19"/>
        <v>0</v>
      </c>
      <c r="Q87" s="92">
        <f t="shared" si="19"/>
        <v>0</v>
      </c>
      <c r="R87" s="92">
        <f t="shared" si="19"/>
        <v>0</v>
      </c>
      <c r="S87" s="92">
        <f t="shared" si="19"/>
        <v>0</v>
      </c>
      <c r="T87" s="92">
        <f t="shared" si="19"/>
        <v>2401.4300000000012</v>
      </c>
      <c r="U87" s="92">
        <f t="shared" si="19"/>
        <v>0</v>
      </c>
      <c r="V87" s="92">
        <f t="shared" si="19"/>
        <v>588</v>
      </c>
      <c r="W87" s="92">
        <f t="shared" si="19"/>
        <v>0</v>
      </c>
      <c r="X87" s="92">
        <f t="shared" si="19"/>
        <v>0</v>
      </c>
      <c r="Y87" s="92">
        <f t="shared" si="19"/>
        <v>-15</v>
      </c>
      <c r="Z87" s="92">
        <f t="shared" si="19"/>
        <v>13</v>
      </c>
      <c r="AA87" s="92">
        <f t="shared" si="19"/>
        <v>1</v>
      </c>
      <c r="AB87" s="92">
        <f t="shared" si="19"/>
        <v>0</v>
      </c>
      <c r="AC87" s="92">
        <f t="shared" si="19"/>
        <v>0</v>
      </c>
      <c r="AD87" s="92">
        <f t="shared" si="19"/>
        <v>3550</v>
      </c>
      <c r="AE87" s="92">
        <f t="shared" si="19"/>
        <v>3260</v>
      </c>
      <c r="AF87" s="92">
        <f t="shared" si="19"/>
        <v>188.80999999999995</v>
      </c>
    </row>
    <row r="88" spans="1:32" x14ac:dyDescent="0.25">
      <c r="A88" s="92" t="s">
        <v>268</v>
      </c>
      <c r="B88" s="92">
        <f t="shared" si="18"/>
        <v>722</v>
      </c>
      <c r="C88" s="92">
        <f t="shared" si="18"/>
        <v>1</v>
      </c>
      <c r="D88" s="92">
        <f t="shared" si="18"/>
        <v>0</v>
      </c>
      <c r="E88" s="92"/>
      <c r="F88" s="92"/>
      <c r="G88" s="92"/>
      <c r="H88" s="92">
        <f t="shared" si="18"/>
        <v>2119</v>
      </c>
      <c r="I88" s="92">
        <f t="shared" si="18"/>
        <v>11288.5</v>
      </c>
      <c r="J88" s="92">
        <f t="shared" si="18"/>
        <v>88.879999999999839</v>
      </c>
      <c r="K88" s="92">
        <f t="shared" si="18"/>
        <v>3191.2899999999941</v>
      </c>
      <c r="L88" s="92">
        <f t="shared" si="20"/>
        <v>4673</v>
      </c>
      <c r="M88" s="92">
        <f t="shared" si="19"/>
        <v>0</v>
      </c>
      <c r="N88" s="92">
        <f t="shared" si="19"/>
        <v>3010</v>
      </c>
      <c r="O88" s="92">
        <f t="shared" si="19"/>
        <v>60</v>
      </c>
      <c r="P88" s="92">
        <f t="shared" si="19"/>
        <v>0</v>
      </c>
      <c r="Q88" s="92">
        <f t="shared" si="19"/>
        <v>0</v>
      </c>
      <c r="R88" s="92">
        <f t="shared" si="19"/>
        <v>0</v>
      </c>
      <c r="S88" s="92">
        <f t="shared" si="19"/>
        <v>0</v>
      </c>
      <c r="T88" s="92">
        <f t="shared" si="19"/>
        <v>4658.4899999999816</v>
      </c>
      <c r="U88" s="92">
        <f t="shared" si="19"/>
        <v>114</v>
      </c>
      <c r="V88" s="92">
        <f t="shared" si="19"/>
        <v>1636</v>
      </c>
      <c r="W88" s="92">
        <f t="shared" si="19"/>
        <v>0</v>
      </c>
      <c r="X88" s="92">
        <f t="shared" si="19"/>
        <v>0</v>
      </c>
      <c r="Y88" s="92">
        <f t="shared" si="19"/>
        <v>1374</v>
      </c>
      <c r="Z88" s="92">
        <f t="shared" si="19"/>
        <v>100</v>
      </c>
      <c r="AA88" s="92">
        <f t="shared" si="19"/>
        <v>-85442</v>
      </c>
      <c r="AB88" s="92">
        <f t="shared" si="19"/>
        <v>0</v>
      </c>
      <c r="AC88" s="92">
        <f t="shared" si="19"/>
        <v>0</v>
      </c>
      <c r="AD88" s="92">
        <f t="shared" si="19"/>
        <v>5590</v>
      </c>
      <c r="AE88" s="92">
        <f t="shared" si="19"/>
        <v>8221</v>
      </c>
      <c r="AF88" s="92">
        <f t="shared" si="19"/>
        <v>272.75000000000091</v>
      </c>
    </row>
    <row r="89" spans="1:32" x14ac:dyDescent="0.25">
      <c r="A89" s="92" t="s">
        <v>269</v>
      </c>
      <c r="B89" s="92">
        <f t="shared" si="18"/>
        <v>0</v>
      </c>
      <c r="C89" s="92">
        <f t="shared" si="18"/>
        <v>0</v>
      </c>
      <c r="D89" s="92">
        <f t="shared" si="18"/>
        <v>0</v>
      </c>
      <c r="E89" s="92"/>
      <c r="F89" s="92"/>
      <c r="G89" s="92"/>
      <c r="H89" s="92">
        <f t="shared" si="18"/>
        <v>0</v>
      </c>
      <c r="I89" s="92">
        <f t="shared" si="18"/>
        <v>-13876</v>
      </c>
      <c r="J89" s="92">
        <f t="shared" si="18"/>
        <v>5.6843418860808015E-14</v>
      </c>
      <c r="K89" s="92">
        <f t="shared" si="18"/>
        <v>0</v>
      </c>
      <c r="L89" s="92">
        <f t="shared" si="20"/>
        <v>0</v>
      </c>
      <c r="M89" s="92">
        <f t="shared" si="19"/>
        <v>0</v>
      </c>
      <c r="N89" s="92">
        <f t="shared" si="19"/>
        <v>0</v>
      </c>
      <c r="O89" s="92">
        <f t="shared" si="19"/>
        <v>0</v>
      </c>
      <c r="P89" s="92">
        <f t="shared" si="19"/>
        <v>0</v>
      </c>
      <c r="Q89" s="92">
        <f t="shared" si="19"/>
        <v>0</v>
      </c>
      <c r="R89" s="92">
        <f t="shared" si="19"/>
        <v>0</v>
      </c>
      <c r="S89" s="92">
        <f t="shared" si="19"/>
        <v>0</v>
      </c>
      <c r="T89" s="92">
        <f t="shared" si="19"/>
        <v>0</v>
      </c>
      <c r="U89" s="92">
        <f t="shared" si="19"/>
        <v>0</v>
      </c>
      <c r="V89" s="92">
        <f t="shared" si="19"/>
        <v>0</v>
      </c>
      <c r="W89" s="92">
        <f t="shared" si="19"/>
        <v>0</v>
      </c>
      <c r="X89" s="92">
        <f t="shared" si="19"/>
        <v>0</v>
      </c>
      <c r="Y89" s="92">
        <f t="shared" si="19"/>
        <v>0</v>
      </c>
      <c r="Z89" s="92">
        <f t="shared" si="19"/>
        <v>0</v>
      </c>
      <c r="AA89" s="92">
        <f t="shared" si="19"/>
        <v>0</v>
      </c>
      <c r="AB89" s="92">
        <f t="shared" si="19"/>
        <v>0</v>
      </c>
      <c r="AC89" s="92">
        <f t="shared" si="19"/>
        <v>0</v>
      </c>
      <c r="AD89" s="92">
        <f t="shared" si="19"/>
        <v>0</v>
      </c>
      <c r="AE89" s="92">
        <f t="shared" si="19"/>
        <v>0</v>
      </c>
      <c r="AF89" s="92">
        <f t="shared" si="19"/>
        <v>0</v>
      </c>
    </row>
    <row r="90" spans="1:32" x14ac:dyDescent="0.25">
      <c r="A90" s="92" t="s">
        <v>265</v>
      </c>
      <c r="B90" s="92">
        <f t="shared" ref="B90" si="21">B85-B86-B87-B88-B89</f>
        <v>-569</v>
      </c>
      <c r="C90" s="92">
        <f t="shared" ref="C90" si="22">C85-C86-C87-C88-C89</f>
        <v>-1</v>
      </c>
      <c r="D90" s="92">
        <f t="shared" ref="D90" si="23">D85-D86-D87-D88-D89</f>
        <v>0</v>
      </c>
      <c r="E90" s="92"/>
      <c r="F90" s="92"/>
      <c r="G90" s="92"/>
      <c r="H90" s="92">
        <f t="shared" ref="H90" si="24">H85-H86-H87-H88-H89</f>
        <v>-3076</v>
      </c>
      <c r="I90" s="92">
        <f t="shared" ref="I90" si="25">I85-I86-I87-I88-I89</f>
        <v>-35572.850000000006</v>
      </c>
      <c r="J90" s="92">
        <f t="shared" ref="J90" si="26">J85-J86-J87-J88-J89</f>
        <v>-78.770000000000863</v>
      </c>
      <c r="K90" s="92">
        <f t="shared" ref="K90" si="27">K85-K86-K87-K88-K89</f>
        <v>-634.41999999997643</v>
      </c>
      <c r="L90" s="92">
        <f t="shared" ref="L90" si="28">L85-L86-L87-L88-L89</f>
        <v>-552</v>
      </c>
      <c r="M90" s="92">
        <f t="shared" ref="M90" si="29">M85-M86-M87-M88-M89</f>
        <v>0</v>
      </c>
      <c r="N90" s="92">
        <f t="shared" ref="N90" si="30">N85-N86-N87-N88-N89</f>
        <v>-2601</v>
      </c>
      <c r="O90" s="92">
        <f t="shared" ref="O90" si="31">O85-O86-O87-O88-O89</f>
        <v>162</v>
      </c>
      <c r="P90" s="92">
        <f t="shared" ref="P90" si="32">P85-P86-P87-P88-P89</f>
        <v>0</v>
      </c>
      <c r="Q90" s="92">
        <f t="shared" ref="Q90" si="33">Q85-Q86-Q87-Q88-Q89</f>
        <v>0</v>
      </c>
      <c r="R90" s="92">
        <f t="shared" ref="R90" si="34">R85-R86-R87-R88-R89</f>
        <v>0</v>
      </c>
      <c r="S90" s="92">
        <f t="shared" ref="S90" si="35">S85-S86-S87-S88-S89</f>
        <v>0</v>
      </c>
      <c r="T90" s="92">
        <f t="shared" ref="T90" si="36">T85-T86-T87-T88-T89</f>
        <v>21072.460000000196</v>
      </c>
      <c r="U90" s="92">
        <f t="shared" ref="U90" si="37">U85-U86-U87-U88-U89</f>
        <v>-123</v>
      </c>
      <c r="V90" s="92">
        <f t="shared" ref="V90" si="38">V85-V86-V87-V88-V89</f>
        <v>-1033</v>
      </c>
      <c r="W90" s="92">
        <f t="shared" ref="W90" si="39">W85-W86-W87-W88-W89</f>
        <v>0</v>
      </c>
      <c r="X90" s="92">
        <f t="shared" ref="X90" si="40">X85-X86-X87-X88-X89</f>
        <v>0</v>
      </c>
      <c r="Y90" s="92">
        <f t="shared" ref="Y90" si="41">Y85-Y86-Y87-Y88-Y89</f>
        <v>5633</v>
      </c>
      <c r="Z90" s="92">
        <f t="shared" ref="Z90" si="42">Z85-Z86-Z87-Z88-Z89</f>
        <v>-34</v>
      </c>
      <c r="AA90" s="92">
        <f t="shared" ref="AA90" si="43">AA85-AA86-AA87-AA88-AA89</f>
        <v>85631</v>
      </c>
      <c r="AB90" s="92">
        <f t="shared" ref="AB90" si="44">AB85-AB86-AB87-AB88-AB89</f>
        <v>0</v>
      </c>
      <c r="AC90" s="92">
        <f t="shared" ref="AC90" si="45">AC85-AC86-AC87-AC88-AC89</f>
        <v>0</v>
      </c>
      <c r="AD90" s="92">
        <f t="shared" ref="AD90" si="46">AD85-AD86-AD87-AD88-AD89</f>
        <v>4299</v>
      </c>
      <c r="AE90" s="92">
        <f t="shared" ref="AE90" si="47">AE85-AE86-AE87-AE88-AE89</f>
        <v>6551</v>
      </c>
      <c r="AF90" s="92">
        <f t="shared" ref="AF90" si="48">AF85-AF86-AF87-AF88-AF89</f>
        <v>851.15000000000282</v>
      </c>
    </row>
    <row r="91" spans="1:32" x14ac:dyDescent="0.25">
      <c r="A91" s="92" t="s">
        <v>266</v>
      </c>
      <c r="B91" s="91">
        <f t="shared" ref="B91" si="49">B90*100/B85</f>
        <v>-73.136246786632384</v>
      </c>
      <c r="C91" s="91" t="e">
        <f t="shared" ref="C91" si="50">C90*100/C85</f>
        <v>#DIV/0!</v>
      </c>
      <c r="D91" s="91" t="e">
        <f t="shared" ref="D91" si="51">D90*100/D85</f>
        <v>#DIV/0!</v>
      </c>
      <c r="E91" s="91"/>
      <c r="F91" s="91"/>
      <c r="G91" s="91"/>
      <c r="H91" s="91">
        <f t="shared" ref="H91" si="52">H90*100/H85</f>
        <v>-48.941925218774863</v>
      </c>
      <c r="I91" s="91">
        <f t="shared" ref="I91" si="53">I90*100/I85</f>
        <v>-99.679269746024588</v>
      </c>
      <c r="J91" s="91">
        <f t="shared" ref="J91" si="54">J90*100/J85</f>
        <v>-48.168531767871869</v>
      </c>
      <c r="K91" s="91">
        <f t="shared" ref="K91" si="55">K90*100/K85</f>
        <v>-8.5987489919419904</v>
      </c>
      <c r="L91" s="91">
        <f t="shared" ref="L91" si="56">L90*100/L85</f>
        <v>-5.2401746724890828</v>
      </c>
      <c r="M91" s="91" t="e">
        <f t="shared" ref="M91" si="57">M90*100/M85</f>
        <v>#DIV/0!</v>
      </c>
      <c r="N91" s="91">
        <f t="shared" ref="N91" si="58">N90*100/N85</f>
        <v>-20.873124147339698</v>
      </c>
      <c r="O91" s="91">
        <f t="shared" ref="O91" si="59">O90*100/O85</f>
        <v>55.102040816326529</v>
      </c>
      <c r="P91" s="91" t="e">
        <f t="shared" ref="P91" si="60">P90*100/P85</f>
        <v>#DIV/0!</v>
      </c>
      <c r="Q91" s="91" t="e">
        <f t="shared" ref="Q91" si="61">Q90*100/Q85</f>
        <v>#DIV/0!</v>
      </c>
      <c r="R91" s="91" t="e">
        <f t="shared" ref="R91" si="62">R90*100/R85</f>
        <v>#DIV/0!</v>
      </c>
      <c r="S91" s="91" t="e">
        <f t="shared" ref="S91" si="63">S90*100/S85</f>
        <v>#DIV/0!</v>
      </c>
      <c r="T91" s="91">
        <f t="shared" ref="T91" si="64">T90*100/T85</f>
        <v>9.5553607523395332</v>
      </c>
      <c r="U91" s="91">
        <f t="shared" ref="U91" si="65">U90*100/U85</f>
        <v>-43.309859154929576</v>
      </c>
      <c r="V91" s="91">
        <f t="shared" ref="V91" si="66">V90*100/V85</f>
        <v>-37.332851463679077</v>
      </c>
      <c r="W91" s="91" t="e">
        <f t="shared" ref="W91" si="67">W90*100/W85</f>
        <v>#DIV/0!</v>
      </c>
      <c r="X91" s="91" t="e">
        <f t="shared" ref="X91" si="68">X90*100/X85</f>
        <v>#DIV/0!</v>
      </c>
      <c r="Y91" s="91">
        <f t="shared" ref="Y91" si="69">Y90*100/Y85</f>
        <v>60.680814391899169</v>
      </c>
      <c r="Z91" s="91">
        <f t="shared" ref="Z91" si="70">Z90*100/Z85</f>
        <v>-5.4662379421221861</v>
      </c>
      <c r="AA91" s="91" t="e">
        <f t="shared" ref="AA91" si="71">AA90*100/AA85</f>
        <v>#DIV/0!</v>
      </c>
      <c r="AB91" s="91" t="e">
        <f t="shared" ref="AB91" si="72">AB90*100/AB85</f>
        <v>#DIV/0!</v>
      </c>
      <c r="AC91" s="91" t="e">
        <f t="shared" ref="AC91" si="73">AC90*100/AC85</f>
        <v>#DIV/0!</v>
      </c>
      <c r="AD91" s="91">
        <f t="shared" ref="AD91" si="74">AD90*100/AD85</f>
        <v>17.63619954053167</v>
      </c>
      <c r="AE91" s="91">
        <f t="shared" ref="AE91" si="75">AE90*100/AE85</f>
        <v>24.445854168221508</v>
      </c>
      <c r="AF91" s="91">
        <f t="shared" ref="AF91" si="76">AF90*100/AF85</f>
        <v>49.807476241749143</v>
      </c>
    </row>
    <row r="93" spans="1:32" x14ac:dyDescent="0.25">
      <c r="A93" s="27" t="s">
        <v>40</v>
      </c>
    </row>
    <row r="94" spans="1:32" x14ac:dyDescent="0.25">
      <c r="A94" s="1" t="s">
        <v>0</v>
      </c>
      <c r="B94" s="109" t="s">
        <v>1</v>
      </c>
      <c r="C94" s="109" t="s">
        <v>233</v>
      </c>
      <c r="D94" s="109" t="s">
        <v>2</v>
      </c>
      <c r="E94" s="109" t="s">
        <v>3</v>
      </c>
      <c r="F94" s="109" t="s">
        <v>242</v>
      </c>
      <c r="G94" s="109" t="s">
        <v>234</v>
      </c>
      <c r="H94" s="109" t="s">
        <v>254</v>
      </c>
      <c r="I94" s="109" t="s">
        <v>5</v>
      </c>
      <c r="J94" s="109" t="s">
        <v>4</v>
      </c>
      <c r="K94" s="109" t="s">
        <v>6</v>
      </c>
      <c r="L94" s="109" t="s">
        <v>7</v>
      </c>
      <c r="M94" s="109" t="s">
        <v>8</v>
      </c>
      <c r="N94" s="109" t="s">
        <v>9</v>
      </c>
      <c r="O94" s="109" t="s">
        <v>241</v>
      </c>
      <c r="P94" s="109" t="s">
        <v>10</v>
      </c>
      <c r="Q94" s="109" t="s">
        <v>11</v>
      </c>
      <c r="R94" s="109" t="s">
        <v>235</v>
      </c>
      <c r="S94" s="109" t="s">
        <v>253</v>
      </c>
      <c r="T94" s="109" t="s">
        <v>12</v>
      </c>
      <c r="U94" s="109" t="s">
        <v>236</v>
      </c>
      <c r="V94" s="109" t="s">
        <v>237</v>
      </c>
      <c r="W94" s="109" t="s">
        <v>240</v>
      </c>
      <c r="X94" s="109" t="s">
        <v>13</v>
      </c>
      <c r="Y94" s="109" t="s">
        <v>14</v>
      </c>
      <c r="Z94" s="109" t="s">
        <v>15</v>
      </c>
      <c r="AA94" s="109" t="s">
        <v>16</v>
      </c>
      <c r="AB94" s="109" t="s">
        <v>17</v>
      </c>
      <c r="AC94" s="108" t="s">
        <v>238</v>
      </c>
      <c r="AD94" s="108" t="s">
        <v>239</v>
      </c>
      <c r="AE94" s="108" t="s">
        <v>18</v>
      </c>
      <c r="AF94" s="109" t="s">
        <v>19</v>
      </c>
    </row>
    <row r="95" spans="1:32" x14ac:dyDescent="0.25">
      <c r="A95" s="92" t="s">
        <v>192</v>
      </c>
      <c r="B95" s="92">
        <v>17826</v>
      </c>
      <c r="C95" s="92">
        <v>50437</v>
      </c>
      <c r="D95" s="92">
        <v>329432</v>
      </c>
      <c r="E95" s="92"/>
      <c r="F95" s="92"/>
      <c r="G95" s="92"/>
      <c r="H95" s="92">
        <v>148937</v>
      </c>
      <c r="I95" s="92">
        <v>35687.31</v>
      </c>
      <c r="J95" s="92">
        <v>10982.45</v>
      </c>
      <c r="K95" s="92">
        <v>111404.16</v>
      </c>
      <c r="L95" s="92">
        <v>337644</v>
      </c>
      <c r="M95" s="92"/>
      <c r="N95" s="92">
        <v>268863</v>
      </c>
      <c r="O95" s="92">
        <v>22952</v>
      </c>
      <c r="P95" s="92"/>
      <c r="Q95" s="92"/>
      <c r="R95" s="92"/>
      <c r="S95" s="92">
        <v>75526.58</v>
      </c>
      <c r="T95" s="92">
        <v>626519.18000000005</v>
      </c>
      <c r="U95" s="92">
        <v>4064</v>
      </c>
      <c r="V95" s="92">
        <v>13932</v>
      </c>
      <c r="W95" s="92"/>
      <c r="X95" s="92"/>
      <c r="Y95" s="92">
        <v>199591</v>
      </c>
      <c r="Z95" s="92">
        <v>94593</v>
      </c>
      <c r="AA95" s="92">
        <f>412888+53080</f>
        <v>465968</v>
      </c>
      <c r="AB95" s="92"/>
      <c r="AC95" s="92"/>
      <c r="AD95" s="92">
        <v>577687</v>
      </c>
      <c r="AE95" s="92">
        <v>624240</v>
      </c>
      <c r="AF95" s="92">
        <v>46459.51</v>
      </c>
    </row>
    <row r="96" spans="1:32" x14ac:dyDescent="0.25">
      <c r="A96" s="92" t="s">
        <v>26</v>
      </c>
      <c r="B96" s="92">
        <v>20373</v>
      </c>
      <c r="C96" s="92">
        <v>43472</v>
      </c>
      <c r="D96" s="92">
        <v>339699</v>
      </c>
      <c r="E96" s="92"/>
      <c r="F96" s="92"/>
      <c r="G96" s="92"/>
      <c r="H96" s="92">
        <v>114759</v>
      </c>
      <c r="I96" s="92">
        <v>74829.86</v>
      </c>
      <c r="J96" s="92">
        <v>11566.54</v>
      </c>
      <c r="K96" s="92">
        <v>78109.72</v>
      </c>
      <c r="L96" s="92">
        <v>299716</v>
      </c>
      <c r="M96" s="92"/>
      <c r="N96" s="92">
        <v>256892</v>
      </c>
      <c r="O96" s="92">
        <v>18127</v>
      </c>
      <c r="P96" s="92"/>
      <c r="Q96" s="92"/>
      <c r="R96" s="92"/>
      <c r="S96" s="92">
        <v>54289.37</v>
      </c>
      <c r="T96" s="92">
        <v>646082.84</v>
      </c>
      <c r="U96" s="92">
        <v>2410</v>
      </c>
      <c r="V96" s="92">
        <v>12348</v>
      </c>
      <c r="W96" s="92"/>
      <c r="X96" s="92"/>
      <c r="Y96" s="92">
        <v>175765</v>
      </c>
      <c r="Z96" s="92">
        <v>75298</v>
      </c>
      <c r="AA96" s="92">
        <f>348047+63053-1</f>
        <v>411099</v>
      </c>
      <c r="AB96" s="92"/>
      <c r="AC96" s="92"/>
      <c r="AD96" s="92">
        <v>653373</v>
      </c>
      <c r="AE96" s="92">
        <v>630477</v>
      </c>
      <c r="AF96" s="92">
        <v>33503.769999999997</v>
      </c>
    </row>
    <row r="97" spans="1:32" x14ac:dyDescent="0.25">
      <c r="A97" s="92" t="s">
        <v>267</v>
      </c>
      <c r="B97" s="92">
        <v>-908</v>
      </c>
      <c r="C97" s="92">
        <v>1950</v>
      </c>
      <c r="D97" s="92">
        <v>-14359</v>
      </c>
      <c r="E97" s="92"/>
      <c r="F97" s="92"/>
      <c r="G97" s="92"/>
      <c r="H97" s="92">
        <v>6690</v>
      </c>
      <c r="I97" s="92">
        <v>-982.2</v>
      </c>
      <c r="J97" s="92">
        <v>639.48</v>
      </c>
      <c r="K97" s="92">
        <v>2113.35</v>
      </c>
      <c r="L97" s="92">
        <v>-17589</v>
      </c>
      <c r="M97" s="92"/>
      <c r="N97" s="92">
        <v>16142</v>
      </c>
      <c r="O97">
        <v>718</v>
      </c>
      <c r="P97" s="92"/>
      <c r="Q97" s="92"/>
      <c r="R97" s="92"/>
      <c r="S97" s="92">
        <v>2518.04</v>
      </c>
      <c r="T97" s="92">
        <v>39151.32</v>
      </c>
      <c r="U97" s="92">
        <v>193</v>
      </c>
      <c r="V97" s="92">
        <v>2117</v>
      </c>
      <c r="W97" s="92"/>
      <c r="X97" s="92"/>
      <c r="Y97" s="92">
        <v>-8319</v>
      </c>
      <c r="Z97" s="92">
        <v>3980</v>
      </c>
      <c r="AA97" s="92">
        <f>54177+8441</f>
        <v>62618</v>
      </c>
      <c r="AB97" s="92"/>
      <c r="AC97" s="92"/>
      <c r="AD97" s="92">
        <v>41600</v>
      </c>
      <c r="AE97" s="92">
        <v>40490</v>
      </c>
      <c r="AF97" s="92">
        <v>1494.55</v>
      </c>
    </row>
    <row r="98" spans="1:32" x14ac:dyDescent="0.25">
      <c r="A98" s="92" t="s">
        <v>268</v>
      </c>
      <c r="B98" s="92">
        <v>22626</v>
      </c>
      <c r="C98" s="92">
        <v>32458</v>
      </c>
      <c r="D98" s="92">
        <v>20490</v>
      </c>
      <c r="E98" s="92"/>
      <c r="F98" s="92"/>
      <c r="G98" s="92"/>
      <c r="H98" s="92">
        <v>52328</v>
      </c>
      <c r="I98" s="92">
        <v>11288.5</v>
      </c>
      <c r="J98" s="92">
        <v>5959.86</v>
      </c>
      <c r="K98" s="92">
        <v>46195.99</v>
      </c>
      <c r="L98" s="92">
        <v>95861</v>
      </c>
      <c r="M98" s="92"/>
      <c r="N98" s="92">
        <v>42606</v>
      </c>
      <c r="O98" s="92">
        <v>9462</v>
      </c>
      <c r="P98" s="92"/>
      <c r="Q98" s="92"/>
      <c r="R98" s="92"/>
      <c r="S98" s="92">
        <v>35393.82</v>
      </c>
      <c r="T98" s="92">
        <v>137662.78</v>
      </c>
      <c r="U98" s="92">
        <v>5660</v>
      </c>
      <c r="V98" s="92">
        <v>7411</v>
      </c>
      <c r="W98" s="92"/>
      <c r="X98" s="92"/>
      <c r="Y98" s="92">
        <v>57117</v>
      </c>
      <c r="Z98" s="92">
        <v>18318</v>
      </c>
      <c r="AA98" s="92"/>
      <c r="AB98" s="92"/>
      <c r="AC98" s="92"/>
      <c r="AD98" s="92">
        <v>137600</v>
      </c>
      <c r="AE98" s="92">
        <v>173314</v>
      </c>
      <c r="AF98" s="92">
        <v>15672.26</v>
      </c>
    </row>
    <row r="99" spans="1:32" x14ac:dyDescent="0.25">
      <c r="A99" s="92" t="s">
        <v>269</v>
      </c>
      <c r="B99" s="92"/>
      <c r="C99" s="92"/>
      <c r="D99" s="92">
        <v>-4100</v>
      </c>
      <c r="E99" s="92"/>
      <c r="F99" s="92"/>
      <c r="G99" s="92"/>
      <c r="H99" s="92">
        <v>2</v>
      </c>
      <c r="I99" s="92">
        <v>-13876</v>
      </c>
      <c r="J99" s="92">
        <v>-383.62</v>
      </c>
      <c r="K99" s="92"/>
      <c r="L99" s="92"/>
      <c r="M99" s="92"/>
      <c r="N99" s="92"/>
      <c r="O99" s="92"/>
      <c r="P99" s="92"/>
      <c r="Q99" s="92"/>
      <c r="R99" s="92"/>
      <c r="S99" s="92"/>
      <c r="T99" s="92">
        <v>2079.89</v>
      </c>
      <c r="U99" s="92"/>
      <c r="V99" s="92"/>
      <c r="W99" s="92"/>
      <c r="X99" s="92"/>
      <c r="Y99" s="92"/>
      <c r="Z99" s="92"/>
      <c r="AA99" s="92"/>
      <c r="AB99" s="92"/>
      <c r="AC99" s="92"/>
      <c r="AD99" s="92">
        <v>-12899</v>
      </c>
      <c r="AE99" s="92"/>
      <c r="AF99" s="92"/>
    </row>
    <row r="100" spans="1:32" x14ac:dyDescent="0.25">
      <c r="A100" s="92" t="s">
        <v>265</v>
      </c>
      <c r="B100" s="92">
        <f t="shared" ref="B100:AF100" si="77">B95-B96-B97-B98-B99</f>
        <v>-24265</v>
      </c>
      <c r="C100" s="92">
        <f t="shared" si="77"/>
        <v>-27443</v>
      </c>
      <c r="D100" s="92">
        <f t="shared" si="77"/>
        <v>-12298</v>
      </c>
      <c r="E100" s="92"/>
      <c r="F100" s="92"/>
      <c r="G100" s="92"/>
      <c r="H100" s="92">
        <f t="shared" si="77"/>
        <v>-24842</v>
      </c>
      <c r="I100" s="92">
        <f t="shared" si="77"/>
        <v>-35572.850000000006</v>
      </c>
      <c r="J100" s="92">
        <f t="shared" si="77"/>
        <v>-6799.81</v>
      </c>
      <c r="K100" s="92">
        <f t="shared" si="77"/>
        <v>-15014.899999999994</v>
      </c>
      <c r="L100" s="92">
        <f t="shared" si="77"/>
        <v>-40344</v>
      </c>
      <c r="M100" s="92">
        <f t="shared" si="77"/>
        <v>0</v>
      </c>
      <c r="N100" s="92">
        <f t="shared" si="77"/>
        <v>-46777</v>
      </c>
      <c r="O100" s="92">
        <f t="shared" si="77"/>
        <v>-5355</v>
      </c>
      <c r="P100" s="92"/>
      <c r="Q100" s="92"/>
      <c r="R100" s="92"/>
      <c r="S100" s="92">
        <f t="shared" si="77"/>
        <v>-16674.650000000001</v>
      </c>
      <c r="T100" s="92">
        <f t="shared" si="77"/>
        <v>-198457.64999999994</v>
      </c>
      <c r="U100" s="92">
        <f t="shared" si="77"/>
        <v>-4199</v>
      </c>
      <c r="V100" s="92">
        <f t="shared" si="77"/>
        <v>-7944</v>
      </c>
      <c r="W100" s="92">
        <f t="shared" si="77"/>
        <v>0</v>
      </c>
      <c r="X100" s="92">
        <f t="shared" si="77"/>
        <v>0</v>
      </c>
      <c r="Y100" s="92">
        <f t="shared" si="77"/>
        <v>-24972</v>
      </c>
      <c r="Z100" s="92">
        <f t="shared" si="77"/>
        <v>-3003</v>
      </c>
      <c r="AA100" s="92">
        <f t="shared" si="77"/>
        <v>-7749</v>
      </c>
      <c r="AB100" s="92">
        <f t="shared" si="77"/>
        <v>0</v>
      </c>
      <c r="AC100" s="92">
        <f t="shared" si="77"/>
        <v>0</v>
      </c>
      <c r="AD100" s="92">
        <f t="shared" si="77"/>
        <v>-241987</v>
      </c>
      <c r="AE100" s="92">
        <f t="shared" si="77"/>
        <v>-220041</v>
      </c>
      <c r="AF100" s="92">
        <f t="shared" si="77"/>
        <v>-4211.0699999999943</v>
      </c>
    </row>
    <row r="101" spans="1:32" x14ac:dyDescent="0.25">
      <c r="A101" s="92" t="s">
        <v>266</v>
      </c>
      <c r="B101" s="91">
        <f t="shared" ref="B101:AF101" si="78">B100*100/B95</f>
        <v>-136.12139571412544</v>
      </c>
      <c r="C101" s="91">
        <f t="shared" si="78"/>
        <v>-54.410452643892384</v>
      </c>
      <c r="D101" s="91">
        <f t="shared" si="78"/>
        <v>-3.7330921100560968</v>
      </c>
      <c r="E101" s="91"/>
      <c r="F101" s="91"/>
      <c r="G101" s="91"/>
      <c r="H101" s="91">
        <f t="shared" si="78"/>
        <v>-16.679535642587133</v>
      </c>
      <c r="I101" s="91">
        <f t="shared" si="78"/>
        <v>-99.679269746024588</v>
      </c>
      <c r="J101" s="91">
        <f t="shared" si="78"/>
        <v>-61.915237492544918</v>
      </c>
      <c r="K101" s="91">
        <f t="shared" si="78"/>
        <v>-13.477862945153928</v>
      </c>
      <c r="L101" s="91">
        <f t="shared" si="78"/>
        <v>-11.948679674450013</v>
      </c>
      <c r="M101" s="91" t="e">
        <f t="shared" si="78"/>
        <v>#DIV/0!</v>
      </c>
      <c r="N101" s="91">
        <f t="shared" si="78"/>
        <v>-17.398080063080453</v>
      </c>
      <c r="O101" s="91">
        <f t="shared" si="78"/>
        <v>-23.331300104566051</v>
      </c>
      <c r="P101" s="91"/>
      <c r="Q101" s="91"/>
      <c r="R101" s="91"/>
      <c r="S101" s="91">
        <f t="shared" si="78"/>
        <v>-22.077856563874601</v>
      </c>
      <c r="T101" s="91">
        <f t="shared" si="78"/>
        <v>-31.676228970356487</v>
      </c>
      <c r="U101" s="91">
        <f t="shared" si="78"/>
        <v>-103.32185039370079</v>
      </c>
      <c r="V101" s="91">
        <f t="shared" si="78"/>
        <v>-57.019810508182601</v>
      </c>
      <c r="W101" s="91" t="e">
        <f t="shared" si="78"/>
        <v>#DIV/0!</v>
      </c>
      <c r="X101" s="91" t="e">
        <f t="shared" si="78"/>
        <v>#DIV/0!</v>
      </c>
      <c r="Y101" s="91">
        <f t="shared" si="78"/>
        <v>-12.511586193766252</v>
      </c>
      <c r="Z101" s="91">
        <f t="shared" si="78"/>
        <v>-3.1746535155878344</v>
      </c>
      <c r="AA101" s="91">
        <f t="shared" si="78"/>
        <v>-1.6629897332005632</v>
      </c>
      <c r="AB101" s="91" t="e">
        <f t="shared" si="78"/>
        <v>#DIV/0!</v>
      </c>
      <c r="AC101" s="91" t="e">
        <f t="shared" si="78"/>
        <v>#DIV/0!</v>
      </c>
      <c r="AD101" s="91">
        <f t="shared" si="78"/>
        <v>-41.888946782600264</v>
      </c>
      <c r="AE101" s="91">
        <f t="shared" si="78"/>
        <v>-35.249423298731259</v>
      </c>
      <c r="AF101" s="91">
        <f t="shared" si="78"/>
        <v>-9.0639569810357319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9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16" sqref="C16"/>
    </sheetView>
  </sheetViews>
  <sheetFormatPr defaultRowHeight="15" x14ac:dyDescent="0.25"/>
  <cols>
    <col min="1" max="1" width="43.140625" style="71" customWidth="1"/>
    <col min="2" max="65" width="16" style="71" customWidth="1"/>
    <col min="66" max="16384" width="9.140625" style="71"/>
  </cols>
  <sheetData>
    <row r="1" spans="1:65" ht="18.75" x14ac:dyDescent="0.3">
      <c r="A1" s="12" t="s">
        <v>258</v>
      </c>
    </row>
    <row r="2" spans="1:65" x14ac:dyDescent="0.25">
      <c r="A2" s="5" t="s">
        <v>98</v>
      </c>
    </row>
    <row r="3" spans="1:65" x14ac:dyDescent="0.25">
      <c r="A3" s="169" t="s">
        <v>0</v>
      </c>
      <c r="B3" s="147" t="s">
        <v>1</v>
      </c>
      <c r="C3" s="148"/>
      <c r="D3" s="147" t="s">
        <v>233</v>
      </c>
      <c r="E3" s="148"/>
      <c r="F3" s="147" t="s">
        <v>2</v>
      </c>
      <c r="G3" s="148"/>
      <c r="H3" s="147" t="s">
        <v>3</v>
      </c>
      <c r="I3" s="148"/>
      <c r="J3" s="147" t="s">
        <v>242</v>
      </c>
      <c r="K3" s="148"/>
      <c r="L3" s="147" t="s">
        <v>234</v>
      </c>
      <c r="M3" s="148"/>
      <c r="N3" s="147" t="s">
        <v>254</v>
      </c>
      <c r="O3" s="148"/>
      <c r="P3" s="147" t="s">
        <v>5</v>
      </c>
      <c r="Q3" s="148"/>
      <c r="R3" s="147" t="s">
        <v>4</v>
      </c>
      <c r="S3" s="148"/>
      <c r="T3" s="147" t="s">
        <v>6</v>
      </c>
      <c r="U3" s="148"/>
      <c r="V3" s="147" t="s">
        <v>314</v>
      </c>
      <c r="W3" s="148"/>
      <c r="X3" s="147" t="s">
        <v>7</v>
      </c>
      <c r="Y3" s="148"/>
      <c r="Z3" s="147" t="s">
        <v>8</v>
      </c>
      <c r="AA3" s="148"/>
      <c r="AB3" s="147" t="s">
        <v>9</v>
      </c>
      <c r="AC3" s="148"/>
      <c r="AD3" s="147" t="s">
        <v>241</v>
      </c>
      <c r="AE3" s="148"/>
      <c r="AF3" s="147" t="s">
        <v>10</v>
      </c>
      <c r="AG3" s="148"/>
      <c r="AH3" s="147" t="s">
        <v>11</v>
      </c>
      <c r="AI3" s="148"/>
      <c r="AJ3" s="147" t="s">
        <v>235</v>
      </c>
      <c r="AK3" s="148"/>
      <c r="AL3" s="147" t="s">
        <v>253</v>
      </c>
      <c r="AM3" s="148"/>
      <c r="AN3" s="147" t="s">
        <v>12</v>
      </c>
      <c r="AO3" s="148"/>
      <c r="AP3" s="147" t="s">
        <v>236</v>
      </c>
      <c r="AQ3" s="148"/>
      <c r="AR3" s="147" t="s">
        <v>237</v>
      </c>
      <c r="AS3" s="148"/>
      <c r="AT3" s="147" t="s">
        <v>240</v>
      </c>
      <c r="AU3" s="148"/>
      <c r="AV3" s="147" t="s">
        <v>13</v>
      </c>
      <c r="AW3" s="148"/>
      <c r="AX3" s="147" t="s">
        <v>14</v>
      </c>
      <c r="AY3" s="148"/>
      <c r="AZ3" s="147" t="s">
        <v>15</v>
      </c>
      <c r="BA3" s="148"/>
      <c r="BB3" s="147" t="s">
        <v>16</v>
      </c>
      <c r="BC3" s="148"/>
      <c r="BD3" s="147" t="s">
        <v>17</v>
      </c>
      <c r="BE3" s="148"/>
      <c r="BF3" s="147" t="s">
        <v>238</v>
      </c>
      <c r="BG3" s="148"/>
      <c r="BH3" s="147" t="s">
        <v>239</v>
      </c>
      <c r="BI3" s="148"/>
      <c r="BJ3" s="147" t="s">
        <v>18</v>
      </c>
      <c r="BK3" s="148"/>
      <c r="BL3" s="147" t="s">
        <v>19</v>
      </c>
      <c r="BM3" s="148"/>
    </row>
    <row r="4" spans="1:65" ht="30" x14ac:dyDescent="0.25">
      <c r="A4" s="170"/>
      <c r="B4" s="53" t="s">
        <v>243</v>
      </c>
      <c r="C4" s="54" t="s">
        <v>244</v>
      </c>
      <c r="D4" s="53" t="s">
        <v>243</v>
      </c>
      <c r="E4" s="54" t="s">
        <v>244</v>
      </c>
      <c r="F4" s="53" t="s">
        <v>243</v>
      </c>
      <c r="G4" s="54" t="s">
        <v>244</v>
      </c>
      <c r="H4" s="53" t="s">
        <v>243</v>
      </c>
      <c r="I4" s="54" t="s">
        <v>244</v>
      </c>
      <c r="J4" s="53" t="s">
        <v>243</v>
      </c>
      <c r="K4" s="54" t="s">
        <v>244</v>
      </c>
      <c r="L4" s="53" t="s">
        <v>243</v>
      </c>
      <c r="M4" s="54" t="s">
        <v>244</v>
      </c>
      <c r="N4" s="53" t="s">
        <v>243</v>
      </c>
      <c r="O4" s="54" t="s">
        <v>244</v>
      </c>
      <c r="P4" s="53" t="s">
        <v>243</v>
      </c>
      <c r="Q4" s="54" t="s">
        <v>244</v>
      </c>
      <c r="R4" s="53" t="s">
        <v>243</v>
      </c>
      <c r="S4" s="54" t="s">
        <v>244</v>
      </c>
      <c r="T4" s="53" t="s">
        <v>243</v>
      </c>
      <c r="U4" s="54" t="s">
        <v>244</v>
      </c>
      <c r="V4" s="53" t="s">
        <v>243</v>
      </c>
      <c r="W4" s="54" t="s">
        <v>244</v>
      </c>
      <c r="X4" s="53" t="s">
        <v>243</v>
      </c>
      <c r="Y4" s="54" t="s">
        <v>244</v>
      </c>
      <c r="Z4" s="53" t="s">
        <v>243</v>
      </c>
      <c r="AA4" s="54" t="s">
        <v>244</v>
      </c>
      <c r="AB4" s="53" t="s">
        <v>243</v>
      </c>
      <c r="AC4" s="54" t="s">
        <v>244</v>
      </c>
      <c r="AD4" s="53" t="s">
        <v>243</v>
      </c>
      <c r="AE4" s="54" t="s">
        <v>244</v>
      </c>
      <c r="AF4" s="53" t="s">
        <v>243</v>
      </c>
      <c r="AG4" s="54" t="s">
        <v>244</v>
      </c>
      <c r="AH4" s="53" t="s">
        <v>243</v>
      </c>
      <c r="AI4" s="54" t="s">
        <v>244</v>
      </c>
      <c r="AJ4" s="53" t="s">
        <v>243</v>
      </c>
      <c r="AK4" s="54" t="s">
        <v>244</v>
      </c>
      <c r="AL4" s="53" t="s">
        <v>243</v>
      </c>
      <c r="AM4" s="54" t="s">
        <v>244</v>
      </c>
      <c r="AN4" s="53" t="s">
        <v>243</v>
      </c>
      <c r="AO4" s="54" t="s">
        <v>244</v>
      </c>
      <c r="AP4" s="53" t="s">
        <v>243</v>
      </c>
      <c r="AQ4" s="54" t="s">
        <v>244</v>
      </c>
      <c r="AR4" s="53" t="s">
        <v>243</v>
      </c>
      <c r="AS4" s="54" t="s">
        <v>244</v>
      </c>
      <c r="AT4" s="53" t="s">
        <v>243</v>
      </c>
      <c r="AU4" s="54" t="s">
        <v>244</v>
      </c>
      <c r="AV4" s="53" t="s">
        <v>243</v>
      </c>
      <c r="AW4" s="54" t="s">
        <v>244</v>
      </c>
      <c r="AX4" s="53" t="s">
        <v>243</v>
      </c>
      <c r="AY4" s="54" t="s">
        <v>244</v>
      </c>
      <c r="AZ4" s="53" t="s">
        <v>243</v>
      </c>
      <c r="BA4" s="54" t="s">
        <v>244</v>
      </c>
      <c r="BB4" s="53" t="s">
        <v>243</v>
      </c>
      <c r="BC4" s="54" t="s">
        <v>244</v>
      </c>
      <c r="BD4" s="53" t="s">
        <v>243</v>
      </c>
      <c r="BE4" s="54" t="s">
        <v>244</v>
      </c>
      <c r="BF4" s="53" t="s">
        <v>243</v>
      </c>
      <c r="BG4" s="54" t="s">
        <v>244</v>
      </c>
      <c r="BH4" s="53" t="s">
        <v>243</v>
      </c>
      <c r="BI4" s="54" t="s">
        <v>244</v>
      </c>
      <c r="BJ4" s="53" t="s">
        <v>243</v>
      </c>
      <c r="BK4" s="54" t="s">
        <v>244</v>
      </c>
      <c r="BL4" s="53" t="s">
        <v>243</v>
      </c>
      <c r="BM4" s="54" t="s">
        <v>244</v>
      </c>
    </row>
    <row r="5" spans="1:65" x14ac:dyDescent="0.25">
      <c r="A5" s="92" t="s">
        <v>259</v>
      </c>
      <c r="B5" s="92">
        <v>2401</v>
      </c>
      <c r="C5" s="92">
        <v>3744</v>
      </c>
      <c r="D5" s="92"/>
      <c r="E5" s="92"/>
      <c r="F5" s="92"/>
      <c r="G5" s="92"/>
      <c r="H5" s="92">
        <v>15982</v>
      </c>
      <c r="I5" s="92">
        <v>26242</v>
      </c>
      <c r="J5" s="92"/>
      <c r="K5" s="92"/>
      <c r="L5" s="92"/>
      <c r="M5" s="92"/>
      <c r="N5" s="92">
        <v>11397</v>
      </c>
      <c r="O5" s="92">
        <v>18934</v>
      </c>
      <c r="P5" s="92"/>
      <c r="Q5" s="92"/>
      <c r="R5" s="92">
        <v>299</v>
      </c>
      <c r="S5" s="92">
        <v>383.9</v>
      </c>
      <c r="T5" s="92">
        <v>5165.75</v>
      </c>
      <c r="U5" s="92">
        <v>8082.44</v>
      </c>
      <c r="V5" s="92">
        <v>11397</v>
      </c>
      <c r="W5" s="92">
        <v>18934</v>
      </c>
      <c r="X5" s="92">
        <v>9773</v>
      </c>
      <c r="Y5" s="92">
        <v>14712</v>
      </c>
      <c r="Z5" s="92">
        <v>26184</v>
      </c>
      <c r="AA5" s="92">
        <v>46560</v>
      </c>
      <c r="AB5" s="92">
        <v>17170</v>
      </c>
      <c r="AC5" s="92">
        <v>26734</v>
      </c>
      <c r="AD5" s="92">
        <v>348.17</v>
      </c>
      <c r="AE5" s="92">
        <v>548.13</v>
      </c>
      <c r="AF5" s="92"/>
      <c r="AG5" s="92"/>
      <c r="AH5" s="92">
        <v>1742</v>
      </c>
      <c r="AI5" s="92">
        <v>2819</v>
      </c>
      <c r="AJ5" s="92"/>
      <c r="AK5" s="92"/>
      <c r="AL5" s="92"/>
      <c r="AM5" s="92"/>
      <c r="AN5" s="92">
        <v>8172.39</v>
      </c>
      <c r="AO5" s="92">
        <v>23286.62</v>
      </c>
      <c r="AP5" s="92">
        <v>429.14</v>
      </c>
      <c r="AQ5" s="92">
        <v>534.45000000000005</v>
      </c>
      <c r="AR5" s="92"/>
      <c r="AS5" s="92"/>
      <c r="AT5" s="92">
        <v>8068</v>
      </c>
      <c r="AU5" s="92">
        <v>12523</v>
      </c>
      <c r="AV5" s="92"/>
      <c r="AW5" s="92"/>
      <c r="AX5" s="92"/>
      <c r="AY5" s="92"/>
      <c r="AZ5" s="92">
        <v>1807</v>
      </c>
      <c r="BA5" s="92">
        <v>2730</v>
      </c>
      <c r="BB5" s="92"/>
      <c r="BC5" s="92"/>
      <c r="BD5" s="92"/>
      <c r="BE5" s="92"/>
      <c r="BF5" s="92"/>
      <c r="BG5" s="92"/>
      <c r="BH5" s="92">
        <v>8846</v>
      </c>
      <c r="BI5" s="92">
        <v>15166</v>
      </c>
      <c r="BJ5" s="92">
        <v>24817.17</v>
      </c>
      <c r="BK5" s="92">
        <v>41868.050000000003</v>
      </c>
      <c r="BL5" s="92">
        <v>569.32000000000005</v>
      </c>
      <c r="BM5" s="92">
        <v>981.22</v>
      </c>
    </row>
    <row r="6" spans="1:65" x14ac:dyDescent="0.25">
      <c r="A6" s="92" t="s">
        <v>260</v>
      </c>
      <c r="B6" s="92">
        <v>6542</v>
      </c>
      <c r="C6" s="92">
        <v>10885</v>
      </c>
      <c r="D6" s="92"/>
      <c r="E6" s="92"/>
      <c r="F6" s="92"/>
      <c r="G6" s="92"/>
      <c r="H6" s="92">
        <v>53129</v>
      </c>
      <c r="I6" s="92">
        <v>91194</v>
      </c>
      <c r="J6" s="92"/>
      <c r="K6" s="92"/>
      <c r="L6" s="92"/>
      <c r="M6" s="92"/>
      <c r="N6" s="92">
        <v>32735</v>
      </c>
      <c r="O6" s="92">
        <v>54377</v>
      </c>
      <c r="P6" s="92"/>
      <c r="Q6" s="92"/>
      <c r="R6" s="92">
        <v>1391.82</v>
      </c>
      <c r="S6" s="92">
        <v>2337.5</v>
      </c>
      <c r="T6" s="92">
        <v>18146.66</v>
      </c>
      <c r="U6" s="92">
        <v>30273.98</v>
      </c>
      <c r="V6" s="92">
        <v>32735</v>
      </c>
      <c r="W6" s="92">
        <v>54377</v>
      </c>
      <c r="X6" s="92">
        <v>41578</v>
      </c>
      <c r="Y6" s="92">
        <v>70916</v>
      </c>
      <c r="Z6" s="92">
        <v>62446</v>
      </c>
      <c r="AA6" s="92">
        <v>111620</v>
      </c>
      <c r="AB6" s="92">
        <v>31843</v>
      </c>
      <c r="AC6" s="92">
        <v>55909</v>
      </c>
      <c r="AD6" s="92">
        <v>2868.26</v>
      </c>
      <c r="AE6" s="92">
        <v>5067.92</v>
      </c>
      <c r="AF6" s="92"/>
      <c r="AG6" s="92"/>
      <c r="AH6" s="92">
        <v>19553</v>
      </c>
      <c r="AI6" s="92">
        <v>32557</v>
      </c>
      <c r="AJ6" s="92"/>
      <c r="AK6" s="92"/>
      <c r="AL6" s="92"/>
      <c r="AM6" s="92"/>
      <c r="AN6" s="92">
        <v>72388.83</v>
      </c>
      <c r="AO6" s="92">
        <v>121249.2</v>
      </c>
      <c r="AP6" s="92">
        <v>557.52</v>
      </c>
      <c r="AQ6" s="92">
        <v>866.92</v>
      </c>
      <c r="AR6" s="92"/>
      <c r="AS6" s="92"/>
      <c r="AT6" s="92">
        <v>48101</v>
      </c>
      <c r="AU6" s="92">
        <v>77303</v>
      </c>
      <c r="AV6" s="92"/>
      <c r="AW6" s="92"/>
      <c r="AX6" s="92"/>
      <c r="AY6" s="92"/>
      <c r="AZ6" s="92">
        <v>29651</v>
      </c>
      <c r="BA6" s="92">
        <v>53275</v>
      </c>
      <c r="BB6" s="92"/>
      <c r="BC6" s="92"/>
      <c r="BD6" s="92"/>
      <c r="BE6" s="92"/>
      <c r="BF6" s="92"/>
      <c r="BG6" s="92"/>
      <c r="BH6" s="92">
        <v>52183</v>
      </c>
      <c r="BI6" s="92">
        <v>92157</v>
      </c>
      <c r="BJ6" s="92">
        <v>76815.75</v>
      </c>
      <c r="BK6" s="92">
        <v>136550.23000000001</v>
      </c>
      <c r="BL6" s="92">
        <v>9639.11</v>
      </c>
      <c r="BM6" s="92">
        <v>16156.86</v>
      </c>
    </row>
    <row r="7" spans="1:65" s="7" customFormat="1" x14ac:dyDescent="0.25">
      <c r="A7" s="10" t="s">
        <v>261</v>
      </c>
      <c r="B7" s="10">
        <v>8942</v>
      </c>
      <c r="C7" s="10">
        <v>14629</v>
      </c>
      <c r="D7" s="10"/>
      <c r="E7" s="10"/>
      <c r="F7" s="10"/>
      <c r="G7" s="10"/>
      <c r="H7" s="10">
        <v>69112</v>
      </c>
      <c r="I7" s="10">
        <v>117436</v>
      </c>
      <c r="J7" s="10"/>
      <c r="K7" s="10"/>
      <c r="L7" s="10"/>
      <c r="M7" s="10"/>
      <c r="N7" s="10">
        <v>44132</v>
      </c>
      <c r="O7" s="10">
        <v>73311</v>
      </c>
      <c r="P7" s="10"/>
      <c r="Q7" s="10"/>
      <c r="R7" s="10">
        <v>1690.92</v>
      </c>
      <c r="S7" s="10">
        <v>2721.4</v>
      </c>
      <c r="T7" s="10">
        <v>23312.42</v>
      </c>
      <c r="U7" s="10">
        <v>38356.43</v>
      </c>
      <c r="V7" s="10">
        <v>44132</v>
      </c>
      <c r="W7" s="10">
        <v>73311</v>
      </c>
      <c r="X7" s="10">
        <v>51351</v>
      </c>
      <c r="Y7" s="10">
        <v>85628</v>
      </c>
      <c r="Z7" s="10">
        <v>88630</v>
      </c>
      <c r="AA7" s="10">
        <v>158180</v>
      </c>
      <c r="AB7" s="10">
        <v>49013</v>
      </c>
      <c r="AC7" s="10">
        <v>82644</v>
      </c>
      <c r="AD7" s="10">
        <v>3216.44</v>
      </c>
      <c r="AE7" s="10">
        <v>5616.05</v>
      </c>
      <c r="AF7" s="10"/>
      <c r="AG7" s="10"/>
      <c r="AH7" s="10">
        <v>21296</v>
      </c>
      <c r="AI7" s="10">
        <v>35377</v>
      </c>
      <c r="AJ7" s="10"/>
      <c r="AK7" s="10"/>
      <c r="AL7" s="10"/>
      <c r="AM7" s="10"/>
      <c r="AN7" s="92">
        <v>80561.22</v>
      </c>
      <c r="AO7" s="92">
        <v>144535.82</v>
      </c>
      <c r="AP7" s="10">
        <v>986.66</v>
      </c>
      <c r="AQ7" s="10">
        <v>1401</v>
      </c>
      <c r="AR7" s="10"/>
      <c r="AS7" s="10"/>
      <c r="AT7" s="10">
        <v>56170</v>
      </c>
      <c r="AU7" s="10">
        <v>89826</v>
      </c>
      <c r="AV7" s="10"/>
      <c r="AW7" s="10"/>
      <c r="AX7" s="10"/>
      <c r="AY7" s="10"/>
      <c r="AZ7" s="10">
        <v>31458</v>
      </c>
      <c r="BA7" s="10">
        <v>56004</v>
      </c>
      <c r="BB7" s="10"/>
      <c r="BC7" s="10"/>
      <c r="BD7" s="10"/>
      <c r="BE7" s="10"/>
      <c r="BF7" s="10"/>
      <c r="BG7" s="10"/>
      <c r="BH7" s="10">
        <v>61029</v>
      </c>
      <c r="BI7" s="10">
        <v>107323</v>
      </c>
      <c r="BJ7" s="10">
        <v>101632.92</v>
      </c>
      <c r="BK7" s="10">
        <v>178418.28</v>
      </c>
      <c r="BL7" s="10">
        <v>10208.44</v>
      </c>
      <c r="BM7" s="10">
        <v>17138.080000000002</v>
      </c>
    </row>
    <row r="8" spans="1:65" s="7" customFormat="1" x14ac:dyDescent="0.25">
      <c r="A8" s="10" t="s">
        <v>262</v>
      </c>
      <c r="B8" s="10">
        <v>3470</v>
      </c>
      <c r="C8" s="10">
        <v>5897</v>
      </c>
      <c r="D8" s="10"/>
      <c r="E8" s="10"/>
      <c r="F8" s="10"/>
      <c r="G8" s="10"/>
      <c r="H8" s="10">
        <v>51464</v>
      </c>
      <c r="I8" s="10">
        <v>89816</v>
      </c>
      <c r="J8" s="10"/>
      <c r="K8" s="10"/>
      <c r="L8" s="10"/>
      <c r="M8" s="10"/>
      <c r="N8" s="10">
        <v>18475</v>
      </c>
      <c r="O8" s="10">
        <v>31220</v>
      </c>
      <c r="P8" s="10"/>
      <c r="Q8" s="10"/>
      <c r="R8" s="10">
        <v>2786.66</v>
      </c>
      <c r="S8" s="10">
        <v>4766.63</v>
      </c>
      <c r="T8" s="10">
        <v>18700.73</v>
      </c>
      <c r="U8" s="10">
        <v>33142.339999999997</v>
      </c>
      <c r="V8" s="10">
        <v>18475</v>
      </c>
      <c r="W8" s="10">
        <v>31220</v>
      </c>
      <c r="X8" s="10">
        <v>38191</v>
      </c>
      <c r="Y8" s="10">
        <v>66942</v>
      </c>
      <c r="Z8" s="10">
        <v>95875</v>
      </c>
      <c r="AA8" s="10">
        <v>166401</v>
      </c>
      <c r="AB8" s="10">
        <v>42667</v>
      </c>
      <c r="AC8" s="10">
        <v>74537</v>
      </c>
      <c r="AD8" s="10">
        <v>4458.0600000000004</v>
      </c>
      <c r="AE8" s="10">
        <v>7356.03</v>
      </c>
      <c r="AF8" s="10"/>
      <c r="AG8" s="10"/>
      <c r="AH8" s="10">
        <v>9735</v>
      </c>
      <c r="AI8" s="10">
        <v>16343</v>
      </c>
      <c r="AJ8" s="10"/>
      <c r="AK8" s="10"/>
      <c r="AL8" s="10"/>
      <c r="AM8" s="10"/>
      <c r="AN8" s="10">
        <v>37651.599999999999</v>
      </c>
      <c r="AO8" s="10">
        <v>68670.98</v>
      </c>
      <c r="AP8" s="10">
        <v>252.69</v>
      </c>
      <c r="AQ8" s="10">
        <v>459.84</v>
      </c>
      <c r="AR8" s="10"/>
      <c r="AS8" s="10"/>
      <c r="AT8" s="10">
        <v>40466</v>
      </c>
      <c r="AU8" s="10">
        <v>68494</v>
      </c>
      <c r="AV8" s="10"/>
      <c r="AW8" s="10"/>
      <c r="AX8" s="10"/>
      <c r="AY8" s="10"/>
      <c r="AZ8" s="10">
        <v>8986</v>
      </c>
      <c r="BA8" s="10">
        <v>16512</v>
      </c>
      <c r="BB8" s="10"/>
      <c r="BC8" s="10"/>
      <c r="BD8" s="10"/>
      <c r="BE8" s="10"/>
      <c r="BF8" s="10"/>
      <c r="BG8" s="10"/>
      <c r="BH8" s="10">
        <v>21170</v>
      </c>
      <c r="BI8" s="10">
        <v>38779</v>
      </c>
      <c r="BJ8" s="10">
        <v>34985.15</v>
      </c>
      <c r="BK8" s="10">
        <v>61739.94</v>
      </c>
      <c r="BL8" s="10">
        <v>17154.39</v>
      </c>
      <c r="BM8" s="10">
        <v>27061.96</v>
      </c>
    </row>
    <row r="9" spans="1:65" s="7" customFormat="1" x14ac:dyDescent="0.25">
      <c r="A9" s="10" t="s">
        <v>263</v>
      </c>
      <c r="B9" s="10">
        <v>24441</v>
      </c>
      <c r="C9" s="10">
        <v>41466</v>
      </c>
      <c r="D9" s="10"/>
      <c r="E9" s="10"/>
      <c r="F9" s="10"/>
      <c r="G9" s="10"/>
      <c r="H9" s="10">
        <v>501145</v>
      </c>
      <c r="I9" s="10">
        <v>748312</v>
      </c>
      <c r="J9" s="10"/>
      <c r="K9" s="10"/>
      <c r="L9" s="10"/>
      <c r="M9" s="10"/>
      <c r="N9" s="10">
        <v>99201</v>
      </c>
      <c r="O9" s="10">
        <v>178011</v>
      </c>
      <c r="P9" s="10"/>
      <c r="Q9" s="10"/>
      <c r="R9" s="10">
        <v>9320.51</v>
      </c>
      <c r="S9" s="10">
        <v>15398.16</v>
      </c>
      <c r="T9" s="10">
        <v>111815.4</v>
      </c>
      <c r="U9" s="10">
        <v>181761.63</v>
      </c>
      <c r="V9" s="10">
        <v>99201</v>
      </c>
      <c r="W9" s="10">
        <v>178011</v>
      </c>
      <c r="X9" s="10">
        <v>413887</v>
      </c>
      <c r="Y9" s="10">
        <v>652518</v>
      </c>
      <c r="Z9" s="10">
        <v>442416</v>
      </c>
      <c r="AA9" s="10">
        <v>861263</v>
      </c>
      <c r="AB9" s="10">
        <v>253273</v>
      </c>
      <c r="AC9" s="10">
        <v>436520</v>
      </c>
      <c r="AD9" s="10">
        <v>15868.97</v>
      </c>
      <c r="AE9" s="10">
        <v>27767.43</v>
      </c>
      <c r="AF9" s="10"/>
      <c r="AG9" s="10"/>
      <c r="AH9" s="10">
        <v>39336</v>
      </c>
      <c r="AI9" s="10">
        <v>68973</v>
      </c>
      <c r="AJ9" s="10"/>
      <c r="AK9" s="10"/>
      <c r="AL9" s="10"/>
      <c r="AM9" s="10"/>
      <c r="AN9" s="10">
        <v>382940.71</v>
      </c>
      <c r="AO9" s="10">
        <v>691598.07</v>
      </c>
      <c r="AP9" s="10">
        <v>2888.9</v>
      </c>
      <c r="AQ9" s="10">
        <v>3660.36</v>
      </c>
      <c r="AR9" s="10"/>
      <c r="AS9" s="10"/>
      <c r="AT9" s="10">
        <v>301806</v>
      </c>
      <c r="AU9" s="10">
        <v>507252</v>
      </c>
      <c r="AV9" s="10"/>
      <c r="AW9" s="10"/>
      <c r="AX9" s="10"/>
      <c r="AY9" s="10"/>
      <c r="AZ9" s="10">
        <v>43634</v>
      </c>
      <c r="BA9" s="10">
        <v>78063</v>
      </c>
      <c r="BB9" s="10"/>
      <c r="BC9" s="10"/>
      <c r="BD9" s="10"/>
      <c r="BE9" s="10"/>
      <c r="BF9" s="10"/>
      <c r="BG9" s="10"/>
      <c r="BH9" s="10">
        <v>365912</v>
      </c>
      <c r="BI9" s="10">
        <v>678806</v>
      </c>
      <c r="BJ9" s="10">
        <v>383795.97</v>
      </c>
      <c r="BK9" s="10">
        <v>751746.55</v>
      </c>
      <c r="BL9" s="10">
        <v>106944.51</v>
      </c>
      <c r="BM9" s="10">
        <v>157001.59</v>
      </c>
    </row>
  </sheetData>
  <mergeCells count="33">
    <mergeCell ref="A3:A4"/>
    <mergeCell ref="BD3:BE3"/>
    <mergeCell ref="BF3:BG3"/>
    <mergeCell ref="BH3:BI3"/>
    <mergeCell ref="BJ3:BK3"/>
    <mergeCell ref="AF3:AG3"/>
    <mergeCell ref="AH3:AI3"/>
    <mergeCell ref="AJ3:AK3"/>
    <mergeCell ref="AL3:AM3"/>
    <mergeCell ref="AN3:AO3"/>
    <mergeCell ref="AP3:AQ3"/>
    <mergeCell ref="N3:O3"/>
    <mergeCell ref="P3:Q3"/>
    <mergeCell ref="X3:Y3"/>
    <mergeCell ref="Z3:AA3"/>
    <mergeCell ref="AB3:AC3"/>
    <mergeCell ref="BL3:BM3"/>
    <mergeCell ref="AR3:AS3"/>
    <mergeCell ref="AT3:AU3"/>
    <mergeCell ref="AV3:AW3"/>
    <mergeCell ref="AX3:AY3"/>
    <mergeCell ref="AZ3:BA3"/>
    <mergeCell ref="BB3:BC3"/>
    <mergeCell ref="AD3:AE3"/>
    <mergeCell ref="B3:C3"/>
    <mergeCell ref="D3:E3"/>
    <mergeCell ref="F3:G3"/>
    <mergeCell ref="H3:I3"/>
    <mergeCell ref="J3:K3"/>
    <mergeCell ref="L3:M3"/>
    <mergeCell ref="V3:W3"/>
    <mergeCell ref="T3:U3"/>
    <mergeCell ref="R3:S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6.28515625" style="71" customWidth="1"/>
    <col min="2" max="32" width="16" style="71" customWidth="1"/>
    <col min="33" max="33" width="16" style="7" customWidth="1"/>
    <col min="34" max="16384" width="9.140625" style="71"/>
  </cols>
  <sheetData>
    <row r="1" spans="1:33" ht="18.75" x14ac:dyDescent="0.3">
      <c r="A1" s="12" t="s">
        <v>245</v>
      </c>
    </row>
    <row r="2" spans="1:33" x14ac:dyDescent="0.25">
      <c r="A2" s="13" t="s">
        <v>98</v>
      </c>
    </row>
    <row r="3" spans="1:33" x14ac:dyDescent="0.25">
      <c r="A3" s="1" t="s">
        <v>0</v>
      </c>
      <c r="B3" s="70" t="s">
        <v>1</v>
      </c>
      <c r="C3" s="70" t="s">
        <v>233</v>
      </c>
      <c r="D3" s="70" t="s">
        <v>2</v>
      </c>
      <c r="E3" s="70" t="s">
        <v>3</v>
      </c>
      <c r="F3" s="70" t="s">
        <v>242</v>
      </c>
      <c r="G3" s="104" t="s">
        <v>234</v>
      </c>
      <c r="H3" s="107" t="s">
        <v>254</v>
      </c>
      <c r="I3" s="104" t="s">
        <v>5</v>
      </c>
      <c r="J3" s="104" t="s">
        <v>4</v>
      </c>
      <c r="K3" s="104" t="s">
        <v>6</v>
      </c>
      <c r="L3" s="104" t="s">
        <v>7</v>
      </c>
      <c r="M3" s="104" t="s">
        <v>8</v>
      </c>
      <c r="N3" s="104" t="s">
        <v>9</v>
      </c>
      <c r="O3" s="104" t="s">
        <v>241</v>
      </c>
      <c r="P3" s="104" t="s">
        <v>10</v>
      </c>
      <c r="Q3" s="104" t="s">
        <v>11</v>
      </c>
      <c r="R3" s="104" t="s">
        <v>235</v>
      </c>
      <c r="S3" s="104" t="s">
        <v>253</v>
      </c>
      <c r="T3" s="104" t="s">
        <v>12</v>
      </c>
      <c r="U3" s="104" t="s">
        <v>236</v>
      </c>
      <c r="V3" s="104" t="s">
        <v>237</v>
      </c>
      <c r="W3" s="104" t="s">
        <v>240</v>
      </c>
      <c r="X3" s="70" t="s">
        <v>13</v>
      </c>
      <c r="Y3" s="70" t="s">
        <v>14</v>
      </c>
      <c r="Z3" s="70" t="s">
        <v>15</v>
      </c>
      <c r="AA3" s="70" t="s">
        <v>16</v>
      </c>
      <c r="AB3" s="70" t="s">
        <v>17</v>
      </c>
      <c r="AC3" s="79" t="s">
        <v>238</v>
      </c>
      <c r="AD3" s="79" t="s">
        <v>239</v>
      </c>
      <c r="AE3" s="79" t="s">
        <v>18</v>
      </c>
      <c r="AF3" s="70" t="s">
        <v>19</v>
      </c>
      <c r="AG3" s="78" t="s">
        <v>20</v>
      </c>
    </row>
    <row r="4" spans="1:33" x14ac:dyDescent="0.25">
      <c r="A4" s="3" t="s">
        <v>194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63"/>
    </row>
    <row r="5" spans="1:33" x14ac:dyDescent="0.25">
      <c r="A5" s="20" t="s">
        <v>195</v>
      </c>
      <c r="B5" s="76">
        <v>89600</v>
      </c>
      <c r="C5" s="76">
        <v>41221</v>
      </c>
      <c r="D5" s="76">
        <v>20000</v>
      </c>
      <c r="E5" s="76">
        <v>11023</v>
      </c>
      <c r="F5" s="76">
        <v>86549.53</v>
      </c>
      <c r="G5" s="76">
        <v>29881</v>
      </c>
      <c r="H5" s="76">
        <v>82889</v>
      </c>
      <c r="I5" s="76">
        <v>345000</v>
      </c>
      <c r="J5" s="76">
        <v>45300</v>
      </c>
      <c r="K5" s="76">
        <v>90480.37</v>
      </c>
      <c r="L5" s="76">
        <v>71278</v>
      </c>
      <c r="M5" s="76">
        <v>49053</v>
      </c>
      <c r="N5" s="76">
        <v>27422</v>
      </c>
      <c r="O5" s="76">
        <v>45500</v>
      </c>
      <c r="P5" s="76">
        <v>108622.52</v>
      </c>
      <c r="Q5" s="76">
        <v>15470.73</v>
      </c>
      <c r="R5" s="76">
        <v>104974.53</v>
      </c>
      <c r="S5" s="76">
        <v>140625.10999999999</v>
      </c>
      <c r="T5" s="76">
        <v>567500</v>
      </c>
      <c r="U5" s="76">
        <v>49579</v>
      </c>
      <c r="V5" s="76">
        <v>28397</v>
      </c>
      <c r="W5" s="76">
        <v>25155</v>
      </c>
      <c r="X5" s="76">
        <v>44900</v>
      </c>
      <c r="Y5" s="76">
        <v>21555</v>
      </c>
      <c r="Z5" s="76">
        <v>25916</v>
      </c>
      <c r="AA5" s="76">
        <v>55329</v>
      </c>
      <c r="AB5" s="76">
        <v>99446</v>
      </c>
      <c r="AC5" s="76">
        <v>82400</v>
      </c>
      <c r="AD5" s="76">
        <v>342000</v>
      </c>
      <c r="AE5" s="76">
        <v>380500</v>
      </c>
      <c r="AF5" s="76">
        <v>36818</v>
      </c>
      <c r="AG5" s="64">
        <f t="shared" ref="AG5:AG12" si="0">SUM(B5:AF5)</f>
        <v>3164384.79</v>
      </c>
    </row>
    <row r="6" spans="1:33" x14ac:dyDescent="0.25">
      <c r="A6" s="20" t="s">
        <v>196</v>
      </c>
      <c r="B6" s="76">
        <v>107</v>
      </c>
      <c r="C6" s="76">
        <v>125379</v>
      </c>
      <c r="D6" s="76">
        <v>470824</v>
      </c>
      <c r="E6" s="76">
        <v>781023</v>
      </c>
      <c r="F6" s="76">
        <v>30870.44</v>
      </c>
      <c r="G6" s="76">
        <v>162937</v>
      </c>
      <c r="H6" s="76">
        <v>108646</v>
      </c>
      <c r="I6" s="76">
        <v>335337.12</v>
      </c>
      <c r="J6" s="76"/>
      <c r="K6" s="76">
        <v>26161.24</v>
      </c>
      <c r="L6" s="76">
        <v>268370</v>
      </c>
      <c r="M6" s="76">
        <v>815794</v>
      </c>
      <c r="N6" s="76">
        <v>251557</v>
      </c>
      <c r="O6" s="76"/>
      <c r="P6" s="76">
        <v>74812.490000000005</v>
      </c>
      <c r="Q6" s="76">
        <v>28593.360000000001</v>
      </c>
      <c r="R6" s="76">
        <v>33201.980000000003</v>
      </c>
      <c r="S6" s="76">
        <v>12504.24</v>
      </c>
      <c r="T6" s="76">
        <v>1587.1</v>
      </c>
      <c r="U6" s="76"/>
      <c r="V6" s="76">
        <v>12315</v>
      </c>
      <c r="W6" s="76">
        <v>195085</v>
      </c>
      <c r="X6" s="76">
        <v>97472.36</v>
      </c>
      <c r="Y6" s="76">
        <v>264980</v>
      </c>
      <c r="Z6" s="76">
        <v>194149</v>
      </c>
      <c r="AA6" s="76">
        <v>376517</v>
      </c>
      <c r="AB6" s="76">
        <v>229307</v>
      </c>
      <c r="AC6" s="76">
        <v>1840438.61</v>
      </c>
      <c r="AD6" s="76">
        <v>-166019</v>
      </c>
      <c r="AE6" s="76">
        <v>10959</v>
      </c>
      <c r="AF6" s="76">
        <v>69712</v>
      </c>
      <c r="AG6" s="64">
        <f t="shared" si="0"/>
        <v>6652620.9400000004</v>
      </c>
    </row>
    <row r="7" spans="1:33" ht="15" customHeight="1" x14ac:dyDescent="0.25">
      <c r="A7" s="20" t="s">
        <v>316</v>
      </c>
      <c r="B7" s="92"/>
      <c r="C7" s="92"/>
      <c r="D7" s="92"/>
      <c r="E7" s="92"/>
      <c r="F7" s="92"/>
      <c r="G7" s="92"/>
      <c r="H7" s="92">
        <v>8460</v>
      </c>
      <c r="I7" s="92">
        <v>37434.879999999997</v>
      </c>
      <c r="J7" s="92">
        <v>178</v>
      </c>
      <c r="K7" s="92"/>
      <c r="L7" s="92"/>
      <c r="M7" s="92"/>
      <c r="N7" s="92"/>
      <c r="O7" s="92"/>
      <c r="P7" s="92">
        <v>6.47</v>
      </c>
      <c r="Q7" s="92"/>
      <c r="R7" s="92"/>
      <c r="S7" s="92"/>
      <c r="T7" s="92">
        <v>835.49</v>
      </c>
      <c r="U7" s="92">
        <v>1</v>
      </c>
      <c r="V7" s="92"/>
      <c r="W7" s="92"/>
      <c r="X7" s="92"/>
      <c r="Y7" s="92"/>
      <c r="Z7" s="92"/>
      <c r="AA7" s="92">
        <v>213</v>
      </c>
      <c r="AB7" s="92"/>
      <c r="AC7" s="92"/>
      <c r="AD7" s="92">
        <v>27119</v>
      </c>
      <c r="AE7" s="92">
        <v>39018</v>
      </c>
      <c r="AF7" s="92">
        <v>160</v>
      </c>
      <c r="AG7" s="64">
        <f t="shared" si="0"/>
        <v>113425.84</v>
      </c>
    </row>
    <row r="8" spans="1:33" ht="15" customHeight="1" x14ac:dyDescent="0.25">
      <c r="A8" s="20" t="s">
        <v>317</v>
      </c>
      <c r="B8" s="92"/>
      <c r="C8" s="92"/>
      <c r="D8" s="92"/>
      <c r="E8" s="92"/>
      <c r="F8" s="92"/>
      <c r="G8" s="92"/>
      <c r="H8" s="92">
        <v>296</v>
      </c>
      <c r="I8" s="92">
        <v>45753.75</v>
      </c>
      <c r="J8" s="92">
        <v>30</v>
      </c>
      <c r="K8" s="92"/>
      <c r="L8" s="92"/>
      <c r="M8" s="92"/>
      <c r="N8" s="92"/>
      <c r="O8" s="92"/>
      <c r="P8" s="92">
        <v>16.59</v>
      </c>
      <c r="Q8" s="92"/>
      <c r="R8" s="92"/>
      <c r="S8" s="92"/>
      <c r="T8" s="92">
        <v>311077.62</v>
      </c>
      <c r="U8" s="92">
        <v>3</v>
      </c>
      <c r="V8" s="92"/>
      <c r="W8" s="92"/>
      <c r="X8" s="92"/>
      <c r="Y8" s="92"/>
      <c r="Z8" s="92"/>
      <c r="AA8" s="92">
        <v>360</v>
      </c>
      <c r="AB8" s="92"/>
      <c r="AC8" s="92"/>
      <c r="AD8" s="92">
        <v>545005</v>
      </c>
      <c r="AE8" s="92">
        <v>370405</v>
      </c>
      <c r="AF8" s="92">
        <v>522</v>
      </c>
      <c r="AG8" s="64">
        <f t="shared" si="0"/>
        <v>1273468.96</v>
      </c>
    </row>
    <row r="9" spans="1:33" s="32" customFormat="1" x14ac:dyDescent="0.25">
      <c r="A9" s="14" t="s">
        <v>318</v>
      </c>
      <c r="B9" s="31"/>
      <c r="C9" s="31">
        <v>17</v>
      </c>
      <c r="D9" s="31">
        <f>2351+660</f>
        <v>3011</v>
      </c>
      <c r="E9" s="31">
        <f>16547+37554</f>
        <v>54101</v>
      </c>
      <c r="F9" s="31">
        <v>-219</v>
      </c>
      <c r="G9" s="31">
        <f>471+3442</f>
        <v>3913</v>
      </c>
      <c r="H9" s="31">
        <f>H7+H8</f>
        <v>8756</v>
      </c>
      <c r="I9" s="31">
        <f>I7+I8</f>
        <v>83188.63</v>
      </c>
      <c r="J9" s="31">
        <f>J7+J8</f>
        <v>208</v>
      </c>
      <c r="K9" s="31">
        <f>16.97+57.7</f>
        <v>74.67</v>
      </c>
      <c r="L9" s="31">
        <f>1928+7484</f>
        <v>9412</v>
      </c>
      <c r="M9" s="31">
        <f>21043+69756</f>
        <v>90799</v>
      </c>
      <c r="N9" s="31">
        <v>99</v>
      </c>
      <c r="O9" s="31">
        <f>45.18+123.66</f>
        <v>168.84</v>
      </c>
      <c r="P9" s="31">
        <f>P7+P8</f>
        <v>23.06</v>
      </c>
      <c r="Q9" s="31">
        <f>0.86+5.93</f>
        <v>6.79</v>
      </c>
      <c r="R9" s="31">
        <f>1.41+0.87</f>
        <v>2.2799999999999998</v>
      </c>
      <c r="S9" s="31">
        <f>9.08+0.18</f>
        <v>9.26</v>
      </c>
      <c r="T9" s="31">
        <f>T8+T7</f>
        <v>311913.11</v>
      </c>
      <c r="U9" s="31">
        <f>U8+U7</f>
        <v>4</v>
      </c>
      <c r="V9" s="31"/>
      <c r="W9" s="31">
        <f>1103+6026</f>
        <v>7129</v>
      </c>
      <c r="X9" s="31">
        <v>16616</v>
      </c>
      <c r="Y9" s="31">
        <f>7+16046</f>
        <v>16053</v>
      </c>
      <c r="Z9" s="31">
        <v>2245</v>
      </c>
      <c r="AA9" s="31">
        <f>AA7+AA8</f>
        <v>573</v>
      </c>
      <c r="AB9" s="31">
        <f>17115+81254</f>
        <v>98369</v>
      </c>
      <c r="AC9" s="31">
        <v>2171771.92</v>
      </c>
      <c r="AD9" s="31">
        <f>AD7+AD8</f>
        <v>572124</v>
      </c>
      <c r="AE9" s="31">
        <f>AE7+AE8</f>
        <v>409423</v>
      </c>
      <c r="AF9" s="31">
        <f>AF7+AF8</f>
        <v>682</v>
      </c>
      <c r="AG9" s="65">
        <f t="shared" si="0"/>
        <v>3860473.56</v>
      </c>
    </row>
    <row r="10" spans="1:33" x14ac:dyDescent="0.25">
      <c r="A10" s="20" t="s">
        <v>197</v>
      </c>
      <c r="B10" s="76"/>
      <c r="C10" s="76"/>
      <c r="D10" s="76"/>
      <c r="E10" s="76"/>
      <c r="F10" s="76"/>
      <c r="G10" s="76">
        <v>10000</v>
      </c>
      <c r="H10" s="76"/>
      <c r="I10" s="76"/>
      <c r="J10" s="76"/>
      <c r="K10" s="76"/>
      <c r="L10" s="76">
        <v>50400</v>
      </c>
      <c r="M10" s="76">
        <v>25500</v>
      </c>
      <c r="N10" s="76"/>
      <c r="O10" s="76"/>
      <c r="P10" s="76"/>
      <c r="Q10" s="76">
        <v>31.64</v>
      </c>
      <c r="R10" s="76">
        <v>11100</v>
      </c>
      <c r="S10" s="76"/>
      <c r="T10" s="76">
        <v>89500</v>
      </c>
      <c r="U10" s="76"/>
      <c r="V10" s="76"/>
      <c r="W10" s="76">
        <v>23000</v>
      </c>
      <c r="X10" s="76">
        <v>12600</v>
      </c>
      <c r="Y10" s="76"/>
      <c r="Z10" s="76"/>
      <c r="AA10" s="76">
        <v>65000</v>
      </c>
      <c r="AB10" s="76">
        <v>36300</v>
      </c>
      <c r="AC10" s="76"/>
      <c r="AD10" s="76">
        <v>75000</v>
      </c>
      <c r="AE10" s="76">
        <v>90000</v>
      </c>
      <c r="AF10" s="76"/>
      <c r="AG10" s="64">
        <f t="shared" si="0"/>
        <v>488431.64</v>
      </c>
    </row>
    <row r="11" spans="1:33" x14ac:dyDescent="0.25">
      <c r="A11" s="20" t="s">
        <v>31</v>
      </c>
      <c r="B11" s="76">
        <f>B12-B10-B9-B6-B5</f>
        <v>0</v>
      </c>
      <c r="C11" s="76">
        <f t="shared" ref="C11:AF11" si="1">C12-C10-C9-C6-C5</f>
        <v>0</v>
      </c>
      <c r="D11" s="76">
        <f t="shared" si="1"/>
        <v>0</v>
      </c>
      <c r="E11" s="76">
        <f t="shared" si="1"/>
        <v>0</v>
      </c>
      <c r="F11" s="76">
        <f t="shared" si="1"/>
        <v>192.83000000000175</v>
      </c>
      <c r="G11" s="76">
        <f t="shared" si="1"/>
        <v>0</v>
      </c>
      <c r="H11" s="76">
        <f t="shared" si="1"/>
        <v>0</v>
      </c>
      <c r="I11" s="76">
        <f t="shared" si="1"/>
        <v>0</v>
      </c>
      <c r="J11" s="76">
        <f t="shared" si="1"/>
        <v>1</v>
      </c>
      <c r="K11" s="76">
        <f t="shared" si="1"/>
        <v>2802.8999999999942</v>
      </c>
      <c r="L11" s="76">
        <f t="shared" si="1"/>
        <v>0</v>
      </c>
      <c r="M11" s="76">
        <f t="shared" si="1"/>
        <v>35</v>
      </c>
      <c r="N11" s="76">
        <f t="shared" si="1"/>
        <v>1</v>
      </c>
      <c r="O11" s="76">
        <f t="shared" si="1"/>
        <v>0</v>
      </c>
      <c r="P11" s="76">
        <f t="shared" si="1"/>
        <v>0</v>
      </c>
      <c r="Q11" s="76">
        <f t="shared" si="1"/>
        <v>390.17000000000189</v>
      </c>
      <c r="R11" s="76">
        <f t="shared" si="1"/>
        <v>0</v>
      </c>
      <c r="S11" s="76">
        <f t="shared" si="1"/>
        <v>0</v>
      </c>
      <c r="T11" s="76">
        <f t="shared" si="1"/>
        <v>0</v>
      </c>
      <c r="U11" s="76">
        <f t="shared" si="1"/>
        <v>0</v>
      </c>
      <c r="V11" s="76">
        <f t="shared" si="1"/>
        <v>0</v>
      </c>
      <c r="W11" s="76">
        <f t="shared" si="1"/>
        <v>0</v>
      </c>
      <c r="X11" s="76">
        <f t="shared" si="1"/>
        <v>0.34000000001105946</v>
      </c>
      <c r="Y11" s="76">
        <f t="shared" si="1"/>
        <v>552</v>
      </c>
      <c r="Z11" s="76">
        <f t="shared" si="1"/>
        <v>0</v>
      </c>
      <c r="AA11" s="76">
        <f t="shared" si="1"/>
        <v>75</v>
      </c>
      <c r="AB11" s="76">
        <f t="shared" si="1"/>
        <v>0</v>
      </c>
      <c r="AC11" s="76">
        <f t="shared" si="1"/>
        <v>-2.3283064365386963E-10</v>
      </c>
      <c r="AD11" s="76">
        <f t="shared" si="1"/>
        <v>-1</v>
      </c>
      <c r="AE11" s="76">
        <f t="shared" si="1"/>
        <v>0</v>
      </c>
      <c r="AF11" s="76">
        <f t="shared" si="1"/>
        <v>0</v>
      </c>
      <c r="AG11" s="64">
        <f t="shared" si="0"/>
        <v>4049.239999999776</v>
      </c>
    </row>
    <row r="12" spans="1:33" s="7" customFormat="1" x14ac:dyDescent="0.25">
      <c r="A12" s="3" t="s">
        <v>40</v>
      </c>
      <c r="B12" s="10">
        <v>89707</v>
      </c>
      <c r="C12" s="10">
        <v>166617</v>
      </c>
      <c r="D12" s="10">
        <v>493835</v>
      </c>
      <c r="E12" s="10">
        <v>846147</v>
      </c>
      <c r="F12" s="10">
        <v>117393.8</v>
      </c>
      <c r="G12" s="10">
        <v>206731</v>
      </c>
      <c r="H12" s="10">
        <v>200291</v>
      </c>
      <c r="I12" s="10">
        <v>763525.75</v>
      </c>
      <c r="J12" s="10">
        <v>45509</v>
      </c>
      <c r="K12" s="10">
        <v>119519.18</v>
      </c>
      <c r="L12" s="10">
        <v>399460</v>
      </c>
      <c r="M12" s="10">
        <v>981181</v>
      </c>
      <c r="N12" s="10">
        <v>279079</v>
      </c>
      <c r="O12" s="10">
        <v>45668.84</v>
      </c>
      <c r="P12" s="10">
        <v>183458.07</v>
      </c>
      <c r="Q12" s="10">
        <v>44492.69</v>
      </c>
      <c r="R12" s="10">
        <v>149278.79</v>
      </c>
      <c r="S12" s="10">
        <v>153138.60999999999</v>
      </c>
      <c r="T12" s="10">
        <v>970500.21</v>
      </c>
      <c r="U12" s="10">
        <v>49583</v>
      </c>
      <c r="V12" s="10">
        <v>40712</v>
      </c>
      <c r="W12" s="10">
        <v>250369</v>
      </c>
      <c r="X12" s="10">
        <v>171588.7</v>
      </c>
      <c r="Y12" s="10">
        <v>303140</v>
      </c>
      <c r="Z12" s="10">
        <v>222310</v>
      </c>
      <c r="AA12" s="10">
        <v>497494</v>
      </c>
      <c r="AB12" s="10">
        <v>463422</v>
      </c>
      <c r="AC12" s="10">
        <v>4094610.53</v>
      </c>
      <c r="AD12" s="10">
        <v>823104</v>
      </c>
      <c r="AE12" s="10">
        <v>890882</v>
      </c>
      <c r="AF12" s="10">
        <v>107212</v>
      </c>
      <c r="AG12" s="63">
        <f t="shared" si="0"/>
        <v>14169960.170000002</v>
      </c>
    </row>
    <row r="13" spans="1:33" s="7" customFormat="1" x14ac:dyDescent="0.25">
      <c r="A13" s="3" t="s">
        <v>198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63"/>
    </row>
    <row r="14" spans="1:33" x14ac:dyDescent="0.25">
      <c r="A14" s="20" t="s">
        <v>199</v>
      </c>
      <c r="B14" s="76">
        <v>18764</v>
      </c>
      <c r="C14" s="76">
        <v>31221</v>
      </c>
      <c r="D14" s="76">
        <v>360024</v>
      </c>
      <c r="E14" s="76">
        <v>474139</v>
      </c>
      <c r="F14" s="76">
        <v>89338.94</v>
      </c>
      <c r="G14" s="76">
        <v>140148</v>
      </c>
      <c r="H14" s="76">
        <v>127632</v>
      </c>
      <c r="I14" s="76">
        <v>603873.6</v>
      </c>
      <c r="J14" s="76">
        <v>9157</v>
      </c>
      <c r="K14" s="76">
        <v>122075.67</v>
      </c>
      <c r="L14" s="76">
        <v>351470</v>
      </c>
      <c r="M14" s="76">
        <v>859964</v>
      </c>
      <c r="N14" s="76">
        <v>217178</v>
      </c>
      <c r="O14" s="76">
        <v>29612.95</v>
      </c>
      <c r="P14" s="76">
        <v>87265.04</v>
      </c>
      <c r="Q14" s="76">
        <v>41807.99</v>
      </c>
      <c r="R14" s="76">
        <v>26472.69</v>
      </c>
      <c r="S14" s="76">
        <v>63164.89</v>
      </c>
      <c r="T14" s="76">
        <v>8016.98</v>
      </c>
      <c r="U14" s="76">
        <v>23895</v>
      </c>
      <c r="V14" s="76">
        <v>20578</v>
      </c>
      <c r="W14" s="76">
        <v>215307</v>
      </c>
      <c r="X14" s="76">
        <v>126060.47</v>
      </c>
      <c r="Y14" s="76">
        <v>284286</v>
      </c>
      <c r="Z14" s="76">
        <v>181721</v>
      </c>
      <c r="AA14" s="76">
        <v>320049</v>
      </c>
      <c r="AB14" s="76">
        <v>348584</v>
      </c>
      <c r="AC14" s="76"/>
      <c r="AD14" s="76">
        <v>126843</v>
      </c>
      <c r="AE14" s="76">
        <v>356843</v>
      </c>
      <c r="AF14" s="76">
        <v>84131</v>
      </c>
      <c r="AG14" s="64">
        <f t="shared" ref="AG14:AG19" si="2">SUM(B14:AF14)</f>
        <v>5749623.2200000007</v>
      </c>
    </row>
    <row r="15" spans="1:33" x14ac:dyDescent="0.25">
      <c r="A15" s="20" t="s">
        <v>200</v>
      </c>
      <c r="B15" s="76">
        <v>53967</v>
      </c>
      <c r="C15" s="76">
        <v>103655</v>
      </c>
      <c r="D15" s="76">
        <v>1282410</v>
      </c>
      <c r="E15" s="76">
        <v>1908055</v>
      </c>
      <c r="F15" s="76">
        <v>187180.22</v>
      </c>
      <c r="G15" s="76">
        <v>1025070</v>
      </c>
      <c r="H15" s="76">
        <v>548630</v>
      </c>
      <c r="I15" s="76">
        <v>738067.73</v>
      </c>
      <c r="J15" s="76">
        <v>30717</v>
      </c>
      <c r="K15" s="76">
        <v>426267.74</v>
      </c>
      <c r="L15" s="76">
        <v>1364049</v>
      </c>
      <c r="M15" s="76">
        <v>2859506</v>
      </c>
      <c r="N15" s="76">
        <v>1102505</v>
      </c>
      <c r="O15" s="76">
        <v>81053.58</v>
      </c>
      <c r="P15" s="76">
        <v>223802.45</v>
      </c>
      <c r="Q15" s="76">
        <v>288051.76</v>
      </c>
      <c r="R15" s="76">
        <v>58049.54</v>
      </c>
      <c r="S15" s="76">
        <v>116230.07</v>
      </c>
      <c r="T15" s="76">
        <v>2984940.67</v>
      </c>
      <c r="U15" s="76">
        <v>35871</v>
      </c>
      <c r="V15" s="76">
        <v>57099</v>
      </c>
      <c r="W15" s="76">
        <v>1176242</v>
      </c>
      <c r="X15" s="76">
        <v>572228.72</v>
      </c>
      <c r="Y15" s="76">
        <v>722881</v>
      </c>
      <c r="Z15" s="76">
        <v>890305</v>
      </c>
      <c r="AA15" s="76">
        <v>540304</v>
      </c>
      <c r="AB15" s="76">
        <v>1484192</v>
      </c>
      <c r="AC15" s="76"/>
      <c r="AD15" s="76">
        <v>2549168</v>
      </c>
      <c r="AE15" s="76">
        <v>3387576</v>
      </c>
      <c r="AF15" s="76">
        <v>273598</v>
      </c>
      <c r="AG15" s="64">
        <f t="shared" si="2"/>
        <v>27071672.48</v>
      </c>
    </row>
    <row r="16" spans="1:33" s="32" customFormat="1" x14ac:dyDescent="0.25">
      <c r="A16" s="14" t="s">
        <v>201</v>
      </c>
      <c r="B16" s="31">
        <f t="shared" ref="B16:D16" si="3">B14+B15</f>
        <v>72731</v>
      </c>
      <c r="C16" s="31">
        <f t="shared" si="3"/>
        <v>134876</v>
      </c>
      <c r="D16" s="31">
        <f t="shared" si="3"/>
        <v>1642434</v>
      </c>
      <c r="E16" s="31">
        <f>E14+E15</f>
        <v>2382194</v>
      </c>
      <c r="F16" s="31">
        <f t="shared" ref="F16:AF16" si="4">F14+F15</f>
        <v>276519.16000000003</v>
      </c>
      <c r="G16" s="31">
        <f t="shared" si="4"/>
        <v>1165218</v>
      </c>
      <c r="H16" s="31">
        <f t="shared" si="4"/>
        <v>676262</v>
      </c>
      <c r="I16" s="31">
        <f t="shared" si="4"/>
        <v>1341941.33</v>
      </c>
      <c r="J16" s="31">
        <f t="shared" si="4"/>
        <v>39874</v>
      </c>
      <c r="K16" s="31">
        <f t="shared" si="4"/>
        <v>548343.41</v>
      </c>
      <c r="L16" s="31">
        <f t="shared" si="4"/>
        <v>1715519</v>
      </c>
      <c r="M16" s="31">
        <f t="shared" si="4"/>
        <v>3719470</v>
      </c>
      <c r="N16" s="31">
        <f t="shared" si="4"/>
        <v>1319683</v>
      </c>
      <c r="O16" s="31">
        <f t="shared" si="4"/>
        <v>110666.53</v>
      </c>
      <c r="P16" s="31">
        <f t="shared" si="4"/>
        <v>311067.49</v>
      </c>
      <c r="Q16" s="31">
        <f t="shared" si="4"/>
        <v>329859.75</v>
      </c>
      <c r="R16" s="31">
        <f t="shared" si="4"/>
        <v>84522.23</v>
      </c>
      <c r="S16" s="31">
        <f t="shared" si="4"/>
        <v>179394.96000000002</v>
      </c>
      <c r="T16" s="31">
        <f t="shared" si="4"/>
        <v>2992957.65</v>
      </c>
      <c r="U16" s="31">
        <f t="shared" si="4"/>
        <v>59766</v>
      </c>
      <c r="V16" s="31">
        <f t="shared" si="4"/>
        <v>77677</v>
      </c>
      <c r="W16" s="31">
        <f t="shared" si="4"/>
        <v>1391549</v>
      </c>
      <c r="X16" s="31">
        <f t="shared" si="4"/>
        <v>698289.19</v>
      </c>
      <c r="Y16" s="31">
        <f t="shared" si="4"/>
        <v>1007167</v>
      </c>
      <c r="Z16" s="31">
        <f t="shared" si="4"/>
        <v>1072026</v>
      </c>
      <c r="AA16" s="31">
        <f t="shared" si="4"/>
        <v>860353</v>
      </c>
      <c r="AB16" s="31">
        <f t="shared" si="4"/>
        <v>1832776</v>
      </c>
      <c r="AC16" s="31">
        <v>7235143.5499999998</v>
      </c>
      <c r="AD16" s="31">
        <f t="shared" si="4"/>
        <v>2676011</v>
      </c>
      <c r="AE16" s="31">
        <f t="shared" si="4"/>
        <v>3744419</v>
      </c>
      <c r="AF16" s="31">
        <f t="shared" si="4"/>
        <v>357729</v>
      </c>
      <c r="AG16" s="65">
        <f t="shared" si="2"/>
        <v>40056439.25</v>
      </c>
    </row>
    <row r="17" spans="1:33" x14ac:dyDescent="0.25">
      <c r="A17" s="20" t="s">
        <v>202</v>
      </c>
      <c r="B17" s="76"/>
      <c r="C17" s="76"/>
      <c r="D17" s="76">
        <v>1467</v>
      </c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>
        <v>150.16</v>
      </c>
      <c r="R17" s="76"/>
      <c r="S17" s="76"/>
      <c r="T17" s="76">
        <v>3457.54</v>
      </c>
      <c r="U17" s="76"/>
      <c r="V17" s="76"/>
      <c r="W17" s="76"/>
      <c r="X17" s="76"/>
      <c r="Y17" s="76"/>
      <c r="Z17" s="76"/>
      <c r="AA17" s="76"/>
      <c r="AB17" s="76"/>
      <c r="AC17" s="76">
        <v>32214.19</v>
      </c>
      <c r="AD17" s="76">
        <v>14284</v>
      </c>
      <c r="AE17" s="76">
        <v>19686</v>
      </c>
      <c r="AF17" s="76"/>
      <c r="AG17" s="64">
        <f t="shared" si="2"/>
        <v>71258.89</v>
      </c>
    </row>
    <row r="18" spans="1:33" x14ac:dyDescent="0.25">
      <c r="A18" s="20" t="s">
        <v>203</v>
      </c>
      <c r="B18" s="76">
        <v>291</v>
      </c>
      <c r="C18" s="76">
        <v>10022</v>
      </c>
      <c r="D18" s="76">
        <v>20828</v>
      </c>
      <c r="E18" s="76">
        <v>42881</v>
      </c>
      <c r="F18" s="76">
        <v>4847.91</v>
      </c>
      <c r="G18" s="76">
        <v>7495</v>
      </c>
      <c r="H18" s="76">
        <v>12039</v>
      </c>
      <c r="I18" s="76">
        <v>31364.2</v>
      </c>
      <c r="J18" s="76">
        <v>1378</v>
      </c>
      <c r="K18" s="76">
        <v>4487.0200000000004</v>
      </c>
      <c r="L18" s="76">
        <v>27997</v>
      </c>
      <c r="M18" s="76">
        <v>60932</v>
      </c>
      <c r="N18" s="76">
        <v>12865</v>
      </c>
      <c r="O18" s="76">
        <v>778.6</v>
      </c>
      <c r="P18" s="76">
        <v>2840.11</v>
      </c>
      <c r="Q18" s="76">
        <v>2553.2199999999998</v>
      </c>
      <c r="R18" s="76">
        <v>2633.49</v>
      </c>
      <c r="S18" s="76">
        <v>4820.49</v>
      </c>
      <c r="T18" s="76">
        <v>55242.82</v>
      </c>
      <c r="U18" s="76">
        <v>50</v>
      </c>
      <c r="V18" s="76">
        <v>810</v>
      </c>
      <c r="W18" s="76">
        <v>7217</v>
      </c>
      <c r="X18" s="76">
        <v>2142.3200000000002</v>
      </c>
      <c r="Y18" s="76">
        <v>22410</v>
      </c>
      <c r="Z18" s="76">
        <v>4505</v>
      </c>
      <c r="AA18" s="76">
        <v>11551</v>
      </c>
      <c r="AB18" s="76">
        <v>25656</v>
      </c>
      <c r="AC18" s="76">
        <v>43418.84</v>
      </c>
      <c r="AD18" s="76">
        <v>52811</v>
      </c>
      <c r="AE18" s="76">
        <v>27466</v>
      </c>
      <c r="AF18" s="76">
        <v>2491</v>
      </c>
      <c r="AG18" s="64">
        <f t="shared" si="2"/>
        <v>506824.0199999999</v>
      </c>
    </row>
    <row r="19" spans="1:33" x14ac:dyDescent="0.25">
      <c r="A19" s="20" t="s">
        <v>204</v>
      </c>
      <c r="B19" s="76"/>
      <c r="C19" s="76"/>
      <c r="D19" s="76">
        <v>976</v>
      </c>
      <c r="E19" s="76">
        <v>11545</v>
      </c>
      <c r="F19" s="76">
        <v>6291.01</v>
      </c>
      <c r="G19" s="76">
        <v>21053</v>
      </c>
      <c r="H19" s="76"/>
      <c r="I19" s="76">
        <v>4540.34</v>
      </c>
      <c r="J19" s="76"/>
      <c r="K19" s="76">
        <v>4846.49</v>
      </c>
      <c r="L19" s="76">
        <v>6972</v>
      </c>
      <c r="M19" s="76">
        <v>39391</v>
      </c>
      <c r="N19" s="76">
        <v>3051</v>
      </c>
      <c r="O19" s="76"/>
      <c r="P19" s="76"/>
      <c r="Q19" s="76">
        <v>1959.52</v>
      </c>
      <c r="R19" s="76"/>
      <c r="S19" s="76"/>
      <c r="T19" s="76"/>
      <c r="U19" s="76"/>
      <c r="V19" s="76">
        <v>645</v>
      </c>
      <c r="W19" s="76">
        <v>3727</v>
      </c>
      <c r="X19" s="76">
        <v>2558.6799999999998</v>
      </c>
      <c r="Y19" s="76">
        <v>1868</v>
      </c>
      <c r="Z19" s="76">
        <v>619</v>
      </c>
      <c r="AA19" s="76">
        <v>54920</v>
      </c>
      <c r="AB19" s="76">
        <v>8779</v>
      </c>
      <c r="AC19" s="76">
        <v>26096.07</v>
      </c>
      <c r="AD19" s="76"/>
      <c r="AE19" s="76"/>
      <c r="AF19" s="76">
        <v>311</v>
      </c>
      <c r="AG19" s="64">
        <f t="shared" si="2"/>
        <v>200149.11</v>
      </c>
    </row>
    <row r="20" spans="1:33" x14ac:dyDescent="0.25">
      <c r="A20" s="14" t="s">
        <v>205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64"/>
    </row>
    <row r="21" spans="1:33" x14ac:dyDescent="0.25">
      <c r="A21" s="20" t="s">
        <v>206</v>
      </c>
      <c r="B21" s="76">
        <v>577</v>
      </c>
      <c r="C21" s="76">
        <v>2809</v>
      </c>
      <c r="D21" s="76">
        <v>407498</v>
      </c>
      <c r="E21" s="76">
        <v>34333</v>
      </c>
      <c r="F21" s="76">
        <v>4799.92</v>
      </c>
      <c r="G21" s="76">
        <v>2524</v>
      </c>
      <c r="H21" s="76">
        <v>10363</v>
      </c>
      <c r="I21" s="76">
        <v>165114.62</v>
      </c>
      <c r="J21" s="76">
        <v>265</v>
      </c>
      <c r="K21" s="76">
        <v>1375.91</v>
      </c>
      <c r="L21" s="76">
        <v>18093</v>
      </c>
      <c r="M21" s="76">
        <v>11011</v>
      </c>
      <c r="N21" s="76">
        <v>23217</v>
      </c>
      <c r="O21" s="76">
        <v>929.25</v>
      </c>
      <c r="P21" s="76">
        <v>439.34</v>
      </c>
      <c r="Q21" s="76">
        <v>2398.08</v>
      </c>
      <c r="R21" s="76">
        <v>8514.06</v>
      </c>
      <c r="S21" s="76">
        <v>3426.06</v>
      </c>
      <c r="T21" s="76">
        <v>189256.32000000001</v>
      </c>
      <c r="U21" s="76">
        <v>690</v>
      </c>
      <c r="V21" s="76">
        <v>69</v>
      </c>
      <c r="W21" s="76">
        <v>16997</v>
      </c>
      <c r="X21" s="76">
        <v>3489.19</v>
      </c>
      <c r="Y21" s="76">
        <v>6247</v>
      </c>
      <c r="Z21" s="76">
        <v>5591</v>
      </c>
      <c r="AA21" s="76">
        <v>87811</v>
      </c>
      <c r="AB21" s="76">
        <v>24935</v>
      </c>
      <c r="AC21" s="76">
        <v>932786.57</v>
      </c>
      <c r="AD21" s="76">
        <v>214699</v>
      </c>
      <c r="AE21" s="76">
        <v>138066</v>
      </c>
      <c r="AF21" s="76">
        <v>3337</v>
      </c>
      <c r="AG21" s="64">
        <f t="shared" ref="AG21:AG31" si="5">SUM(B21:AF21)</f>
        <v>2321661.3199999998</v>
      </c>
    </row>
    <row r="22" spans="1:33" x14ac:dyDescent="0.25">
      <c r="A22" s="20" t="s">
        <v>207</v>
      </c>
      <c r="B22" s="76">
        <v>5895</v>
      </c>
      <c r="C22" s="76">
        <v>10117</v>
      </c>
      <c r="D22" s="76">
        <v>1007554</v>
      </c>
      <c r="E22" s="76">
        <v>390236</v>
      </c>
      <c r="F22" s="76">
        <v>28588.78</v>
      </c>
      <c r="G22" s="76">
        <v>96639</v>
      </c>
      <c r="H22" s="76">
        <v>45713</v>
      </c>
      <c r="I22" s="76">
        <v>109912.42</v>
      </c>
      <c r="J22" s="76">
        <v>8549</v>
      </c>
      <c r="K22" s="76">
        <v>68066.38</v>
      </c>
      <c r="L22" s="76">
        <v>280328</v>
      </c>
      <c r="M22" s="76">
        <v>1115466</v>
      </c>
      <c r="N22" s="76">
        <v>252672</v>
      </c>
      <c r="O22" s="76">
        <v>6843.39</v>
      </c>
      <c r="P22" s="76">
        <v>29735.31</v>
      </c>
      <c r="Q22" s="76">
        <v>14601.84</v>
      </c>
      <c r="R22" s="76">
        <v>3856.98</v>
      </c>
      <c r="S22" s="76">
        <v>25259.38</v>
      </c>
      <c r="T22" s="76">
        <v>743771.17</v>
      </c>
      <c r="U22" s="76">
        <v>1910</v>
      </c>
      <c r="V22" s="76">
        <v>4158</v>
      </c>
      <c r="W22" s="76">
        <v>278423</v>
      </c>
      <c r="X22" s="76">
        <v>92212.4</v>
      </c>
      <c r="Y22" s="76">
        <v>185943</v>
      </c>
      <c r="Z22" s="76">
        <v>43874</v>
      </c>
      <c r="AA22" s="76">
        <v>61585</v>
      </c>
      <c r="AB22" s="76">
        <v>107019</v>
      </c>
      <c r="AC22" s="76">
        <v>990885.24</v>
      </c>
      <c r="AD22" s="76">
        <v>662476</v>
      </c>
      <c r="AE22" s="76">
        <v>498402</v>
      </c>
      <c r="AF22" s="76">
        <v>118023</v>
      </c>
      <c r="AG22" s="64">
        <f t="shared" si="5"/>
        <v>7288715.290000001</v>
      </c>
    </row>
    <row r="23" spans="1:33" s="32" customFormat="1" x14ac:dyDescent="0.25">
      <c r="A23" s="14" t="s">
        <v>208</v>
      </c>
      <c r="B23" s="31">
        <f>B21+B22</f>
        <v>6472</v>
      </c>
      <c r="C23" s="31">
        <f t="shared" ref="C23:AF23" si="6">C21+C22</f>
        <v>12926</v>
      </c>
      <c r="D23" s="31">
        <f t="shared" si="6"/>
        <v>1415052</v>
      </c>
      <c r="E23" s="31">
        <f t="shared" si="6"/>
        <v>424569</v>
      </c>
      <c r="F23" s="31">
        <f t="shared" si="6"/>
        <v>33388.699999999997</v>
      </c>
      <c r="G23" s="31">
        <f t="shared" si="6"/>
        <v>99163</v>
      </c>
      <c r="H23" s="31">
        <f t="shared" si="6"/>
        <v>56076</v>
      </c>
      <c r="I23" s="31">
        <f t="shared" si="6"/>
        <v>275027.03999999998</v>
      </c>
      <c r="J23" s="31">
        <f t="shared" si="6"/>
        <v>8814</v>
      </c>
      <c r="K23" s="31">
        <f t="shared" si="6"/>
        <v>69442.290000000008</v>
      </c>
      <c r="L23" s="31">
        <f t="shared" si="6"/>
        <v>298421</v>
      </c>
      <c r="M23" s="31">
        <f t="shared" si="6"/>
        <v>1126477</v>
      </c>
      <c r="N23" s="31">
        <f t="shared" si="6"/>
        <v>275889</v>
      </c>
      <c r="O23" s="31">
        <f t="shared" si="6"/>
        <v>7772.64</v>
      </c>
      <c r="P23" s="31">
        <f t="shared" si="6"/>
        <v>30174.65</v>
      </c>
      <c r="Q23" s="31">
        <f t="shared" si="6"/>
        <v>16999.919999999998</v>
      </c>
      <c r="R23" s="31">
        <f t="shared" si="6"/>
        <v>12371.039999999999</v>
      </c>
      <c r="S23" s="31">
        <f t="shared" si="6"/>
        <v>28685.440000000002</v>
      </c>
      <c r="T23" s="31">
        <f t="shared" si="6"/>
        <v>933027.49</v>
      </c>
      <c r="U23" s="31">
        <f t="shared" si="6"/>
        <v>2600</v>
      </c>
      <c r="V23" s="31">
        <f t="shared" si="6"/>
        <v>4227</v>
      </c>
      <c r="W23" s="31">
        <f t="shared" si="6"/>
        <v>295420</v>
      </c>
      <c r="X23" s="31">
        <f t="shared" si="6"/>
        <v>95701.59</v>
      </c>
      <c r="Y23" s="31">
        <f t="shared" si="6"/>
        <v>192190</v>
      </c>
      <c r="Z23" s="31">
        <f t="shared" si="6"/>
        <v>49465</v>
      </c>
      <c r="AA23" s="31">
        <f t="shared" si="6"/>
        <v>149396</v>
      </c>
      <c r="AB23" s="31">
        <f t="shared" si="6"/>
        <v>131954</v>
      </c>
      <c r="AC23" s="31">
        <f t="shared" si="6"/>
        <v>1923671.81</v>
      </c>
      <c r="AD23" s="31">
        <f t="shared" si="6"/>
        <v>877175</v>
      </c>
      <c r="AE23" s="31">
        <f t="shared" si="6"/>
        <v>636468</v>
      </c>
      <c r="AF23" s="31">
        <f t="shared" si="6"/>
        <v>121360</v>
      </c>
      <c r="AG23" s="65">
        <f t="shared" si="5"/>
        <v>9610376.6099999994</v>
      </c>
    </row>
    <row r="24" spans="1:33" s="32" customFormat="1" x14ac:dyDescent="0.25">
      <c r="A24" s="20" t="s">
        <v>315</v>
      </c>
      <c r="B24" s="31"/>
      <c r="C24" s="24">
        <v>51477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65"/>
    </row>
    <row r="25" spans="1:33" x14ac:dyDescent="0.25">
      <c r="A25" s="20" t="s">
        <v>209</v>
      </c>
      <c r="B25" s="76">
        <v>37918</v>
      </c>
      <c r="C25" s="76">
        <v>61095</v>
      </c>
      <c r="D25" s="76">
        <v>2460421</v>
      </c>
      <c r="E25" s="76">
        <v>1606932</v>
      </c>
      <c r="F25" s="76">
        <v>93109.77</v>
      </c>
      <c r="G25" s="76">
        <v>858761</v>
      </c>
      <c r="H25" s="76">
        <v>438873</v>
      </c>
      <c r="I25" s="76">
        <v>809561.34</v>
      </c>
      <c r="J25" s="76">
        <v>24180</v>
      </c>
      <c r="K25" s="76">
        <v>372347.81</v>
      </c>
      <c r="L25" s="76">
        <v>1230424</v>
      </c>
      <c r="M25" s="76">
        <v>3256623</v>
      </c>
      <c r="N25" s="76">
        <v>1051535</v>
      </c>
      <c r="O25" s="76">
        <v>55780.32</v>
      </c>
      <c r="P25" s="76">
        <v>189291.3</v>
      </c>
      <c r="Q25" s="76">
        <v>255951.81</v>
      </c>
      <c r="R25" s="76">
        <v>26132.080000000002</v>
      </c>
      <c r="S25" s="76">
        <v>64664.63</v>
      </c>
      <c r="T25" s="76">
        <v>2882823.47</v>
      </c>
      <c r="U25" s="76">
        <v>19210</v>
      </c>
      <c r="V25" s="76">
        <v>43519</v>
      </c>
      <c r="W25" s="76">
        <v>1208500</v>
      </c>
      <c r="X25" s="76">
        <v>512226.49</v>
      </c>
      <c r="Y25" s="76">
        <v>623566</v>
      </c>
      <c r="Z25" s="76">
        <v>813896</v>
      </c>
      <c r="AA25" s="76">
        <v>156699</v>
      </c>
      <c r="AB25" s="76">
        <v>1173872</v>
      </c>
      <c r="AC25" s="76">
        <v>3790155.67</v>
      </c>
      <c r="AD25" s="76">
        <v>2129694</v>
      </c>
      <c r="AE25" s="76">
        <v>2775420</v>
      </c>
      <c r="AF25" s="76">
        <v>295097</v>
      </c>
      <c r="AG25" s="64">
        <f t="shared" si="5"/>
        <v>29318279.689999998</v>
      </c>
    </row>
    <row r="26" spans="1:33" x14ac:dyDescent="0.25">
      <c r="A26" s="20" t="s">
        <v>58</v>
      </c>
      <c r="B26" s="76">
        <v>21164</v>
      </c>
      <c r="C26" s="76"/>
      <c r="D26" s="76">
        <v>126501</v>
      </c>
      <c r="E26" s="76">
        <v>408109</v>
      </c>
      <c r="F26" s="76">
        <v>125625.09</v>
      </c>
      <c r="G26" s="76">
        <v>227437</v>
      </c>
      <c r="H26" s="76">
        <v>174853</v>
      </c>
      <c r="I26" s="76">
        <v>79785.820000000007</v>
      </c>
      <c r="J26" s="76">
        <v>13711</v>
      </c>
      <c r="K26" s="76">
        <v>135252.20000000001</v>
      </c>
      <c r="L26" s="76">
        <v>419025</v>
      </c>
      <c r="M26" s="76">
        <v>708466</v>
      </c>
      <c r="N26" s="76">
        <v>280875</v>
      </c>
      <c r="O26" s="76">
        <v>33687.15</v>
      </c>
      <c r="P26" s="76">
        <v>67732.37</v>
      </c>
      <c r="Q26" s="76">
        <v>51078.07</v>
      </c>
      <c r="R26" s="76">
        <v>42059.72</v>
      </c>
      <c r="S26" s="76">
        <v>88569.69</v>
      </c>
      <c r="T26" s="76">
        <v>691938.02</v>
      </c>
      <c r="U26" s="76">
        <v>19177</v>
      </c>
      <c r="V26" s="76">
        <v>19036</v>
      </c>
      <c r="W26" s="76">
        <v>239045</v>
      </c>
      <c r="X26" s="76">
        <v>114876.59</v>
      </c>
      <c r="Y26" s="76">
        <v>296929</v>
      </c>
      <c r="Z26" s="76">
        <v>90409</v>
      </c>
      <c r="AA26" s="76">
        <v>532508</v>
      </c>
      <c r="AB26" s="76">
        <v>361871</v>
      </c>
      <c r="AC26" s="76">
        <v>1478313.26</v>
      </c>
      <c r="AD26" s="76">
        <v>741771</v>
      </c>
      <c r="AE26" s="76">
        <v>836817</v>
      </c>
      <c r="AF26" s="76">
        <v>79582</v>
      </c>
      <c r="AG26" s="64">
        <f t="shared" si="5"/>
        <v>8506203.9800000004</v>
      </c>
    </row>
    <row r="27" spans="1:33" s="32" customFormat="1" x14ac:dyDescent="0.25">
      <c r="A27" s="14" t="s">
        <v>210</v>
      </c>
      <c r="B27" s="31">
        <f>B25+B26+B24</f>
        <v>59082</v>
      </c>
      <c r="C27" s="31">
        <f>C25+C26+C24</f>
        <v>112572</v>
      </c>
      <c r="D27" s="31">
        <f t="shared" ref="D27:AF27" si="7">D25+D26+D24</f>
        <v>2586922</v>
      </c>
      <c r="E27" s="31">
        <f t="shared" si="7"/>
        <v>2015041</v>
      </c>
      <c r="F27" s="31">
        <f t="shared" si="7"/>
        <v>218734.86</v>
      </c>
      <c r="G27" s="31">
        <f t="shared" si="7"/>
        <v>1086198</v>
      </c>
      <c r="H27" s="31">
        <f t="shared" si="7"/>
        <v>613726</v>
      </c>
      <c r="I27" s="31">
        <f t="shared" si="7"/>
        <v>889347.15999999992</v>
      </c>
      <c r="J27" s="31">
        <f t="shared" si="7"/>
        <v>37891</v>
      </c>
      <c r="K27" s="31">
        <f t="shared" si="7"/>
        <v>507600.01</v>
      </c>
      <c r="L27" s="31">
        <f t="shared" si="7"/>
        <v>1649449</v>
      </c>
      <c r="M27" s="31">
        <f t="shared" si="7"/>
        <v>3965089</v>
      </c>
      <c r="N27" s="31">
        <f t="shared" si="7"/>
        <v>1332410</v>
      </c>
      <c r="O27" s="31">
        <f t="shared" si="7"/>
        <v>89467.47</v>
      </c>
      <c r="P27" s="31">
        <f t="shared" si="7"/>
        <v>257023.66999999998</v>
      </c>
      <c r="Q27" s="31">
        <f t="shared" si="7"/>
        <v>307029.88</v>
      </c>
      <c r="R27" s="31">
        <f t="shared" si="7"/>
        <v>68191.8</v>
      </c>
      <c r="S27" s="31">
        <f t="shared" si="7"/>
        <v>153234.32</v>
      </c>
      <c r="T27" s="31">
        <f t="shared" si="7"/>
        <v>3574761.49</v>
      </c>
      <c r="U27" s="31">
        <f t="shared" si="7"/>
        <v>38387</v>
      </c>
      <c r="V27" s="31">
        <f t="shared" si="7"/>
        <v>62555</v>
      </c>
      <c r="W27" s="31">
        <f t="shared" si="7"/>
        <v>1447545</v>
      </c>
      <c r="X27" s="31">
        <f t="shared" si="7"/>
        <v>627103.07999999996</v>
      </c>
      <c r="Y27" s="31">
        <f t="shared" si="7"/>
        <v>920495</v>
      </c>
      <c r="Z27" s="31">
        <f t="shared" si="7"/>
        <v>904305</v>
      </c>
      <c r="AA27" s="31">
        <f t="shared" si="7"/>
        <v>689207</v>
      </c>
      <c r="AB27" s="31">
        <f t="shared" si="7"/>
        <v>1535743</v>
      </c>
      <c r="AC27" s="31">
        <f t="shared" si="7"/>
        <v>5268468.93</v>
      </c>
      <c r="AD27" s="31">
        <f t="shared" si="7"/>
        <v>2871465</v>
      </c>
      <c r="AE27" s="31">
        <f t="shared" si="7"/>
        <v>3612237</v>
      </c>
      <c r="AF27" s="31">
        <f t="shared" si="7"/>
        <v>374679</v>
      </c>
      <c r="AG27" s="65">
        <f t="shared" si="5"/>
        <v>37875960.670000002</v>
      </c>
    </row>
    <row r="28" spans="1:33" s="7" customFormat="1" x14ac:dyDescent="0.25">
      <c r="A28" s="3" t="s">
        <v>211</v>
      </c>
      <c r="B28" s="10">
        <f>B23-B27</f>
        <v>-52610</v>
      </c>
      <c r="C28" s="10">
        <f t="shared" ref="C28:AF28" si="8">C23-C27</f>
        <v>-99646</v>
      </c>
      <c r="D28" s="10">
        <f t="shared" si="8"/>
        <v>-1171870</v>
      </c>
      <c r="E28" s="10">
        <f t="shared" si="8"/>
        <v>-1590472</v>
      </c>
      <c r="F28" s="10">
        <f t="shared" si="8"/>
        <v>-185346.15999999997</v>
      </c>
      <c r="G28" s="10">
        <f t="shared" si="8"/>
        <v>-987035</v>
      </c>
      <c r="H28" s="10">
        <f t="shared" si="8"/>
        <v>-557650</v>
      </c>
      <c r="I28" s="10">
        <f t="shared" si="8"/>
        <v>-614320.11999999988</v>
      </c>
      <c r="J28" s="10">
        <f t="shared" si="8"/>
        <v>-29077</v>
      </c>
      <c r="K28" s="10">
        <f t="shared" si="8"/>
        <v>-438157.72</v>
      </c>
      <c r="L28" s="10">
        <f t="shared" si="8"/>
        <v>-1351028</v>
      </c>
      <c r="M28" s="10">
        <f t="shared" si="8"/>
        <v>-2838612</v>
      </c>
      <c r="N28" s="10">
        <f t="shared" si="8"/>
        <v>-1056521</v>
      </c>
      <c r="O28" s="10">
        <f t="shared" si="8"/>
        <v>-81694.83</v>
      </c>
      <c r="P28" s="10">
        <f t="shared" si="8"/>
        <v>-226849.02</v>
      </c>
      <c r="Q28" s="10">
        <f t="shared" si="8"/>
        <v>-290029.96000000002</v>
      </c>
      <c r="R28" s="10">
        <f t="shared" si="8"/>
        <v>-55820.76</v>
      </c>
      <c r="S28" s="10">
        <f t="shared" si="8"/>
        <v>-124548.88</v>
      </c>
      <c r="T28" s="10">
        <f t="shared" si="8"/>
        <v>-2641734</v>
      </c>
      <c r="U28" s="10">
        <f t="shared" si="8"/>
        <v>-35787</v>
      </c>
      <c r="V28" s="10">
        <f t="shared" si="8"/>
        <v>-58328</v>
      </c>
      <c r="W28" s="10">
        <f t="shared" si="8"/>
        <v>-1152125</v>
      </c>
      <c r="X28" s="10">
        <f t="shared" si="8"/>
        <v>-531401.49</v>
      </c>
      <c r="Y28" s="10">
        <f t="shared" si="8"/>
        <v>-728305</v>
      </c>
      <c r="Z28" s="10">
        <f t="shared" si="8"/>
        <v>-854840</v>
      </c>
      <c r="AA28" s="10">
        <f t="shared" si="8"/>
        <v>-539811</v>
      </c>
      <c r="AB28" s="10">
        <f t="shared" si="8"/>
        <v>-1403789</v>
      </c>
      <c r="AC28" s="10">
        <f t="shared" si="8"/>
        <v>-3344797.1199999996</v>
      </c>
      <c r="AD28" s="10">
        <f t="shared" si="8"/>
        <v>-1994290</v>
      </c>
      <c r="AE28" s="10">
        <f t="shared" si="8"/>
        <v>-2975769</v>
      </c>
      <c r="AF28" s="10">
        <f t="shared" si="8"/>
        <v>-253319</v>
      </c>
      <c r="AG28" s="63">
        <f t="shared" si="5"/>
        <v>-28265584.060000002</v>
      </c>
    </row>
    <row r="29" spans="1:33" ht="30" x14ac:dyDescent="0.25">
      <c r="A29" s="20" t="s">
        <v>212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>
        <v>39440.400000000001</v>
      </c>
      <c r="U29" s="76"/>
      <c r="V29" s="76"/>
      <c r="W29" s="76"/>
      <c r="X29" s="76"/>
      <c r="Y29" s="76"/>
      <c r="Z29" s="76"/>
      <c r="AA29" s="76"/>
      <c r="AB29" s="76"/>
      <c r="AC29" s="76">
        <v>102535</v>
      </c>
      <c r="AD29" s="76">
        <v>74286</v>
      </c>
      <c r="AE29" s="76"/>
      <c r="AF29" s="76"/>
      <c r="AG29" s="64">
        <f t="shared" si="5"/>
        <v>216261.4</v>
      </c>
    </row>
    <row r="30" spans="1:33" ht="30" x14ac:dyDescent="0.25">
      <c r="A30" s="20" t="s">
        <v>213</v>
      </c>
      <c r="B30" s="76">
        <v>69295</v>
      </c>
      <c r="C30" s="76">
        <v>121365</v>
      </c>
      <c r="D30" s="76"/>
      <c r="E30" s="76"/>
      <c r="F30" s="76">
        <v>15081.88</v>
      </c>
      <c r="G30" s="76"/>
      <c r="H30" s="76">
        <v>69639</v>
      </c>
      <c r="I30" s="76"/>
      <c r="J30" s="76">
        <v>33334</v>
      </c>
      <c r="K30" s="76"/>
      <c r="L30" s="76"/>
      <c r="M30" s="76"/>
      <c r="N30" s="76"/>
      <c r="O30" s="76">
        <v>15918.54</v>
      </c>
      <c r="P30" s="76">
        <v>96399.49</v>
      </c>
      <c r="Q30" s="76"/>
      <c r="R30" s="76">
        <v>117943.83</v>
      </c>
      <c r="S30" s="76">
        <v>93472.04</v>
      </c>
      <c r="T30" s="76">
        <v>521135.8</v>
      </c>
      <c r="U30" s="76">
        <v>25553</v>
      </c>
      <c r="V30" s="76">
        <v>19908</v>
      </c>
      <c r="W30" s="76"/>
      <c r="X30" s="76"/>
      <c r="Y30" s="76"/>
      <c r="Z30" s="76"/>
      <c r="AA30" s="76">
        <v>110480</v>
      </c>
      <c r="AB30" s="76"/>
      <c r="AC30" s="76"/>
      <c r="AD30" s="76"/>
      <c r="AE30" s="76">
        <v>75079</v>
      </c>
      <c r="AF30" s="76"/>
      <c r="AG30" s="64">
        <f t="shared" si="5"/>
        <v>1384604.58</v>
      </c>
    </row>
    <row r="31" spans="1:33" s="7" customFormat="1" x14ac:dyDescent="0.25">
      <c r="A31" s="3" t="s">
        <v>40</v>
      </c>
      <c r="B31" s="10">
        <v>89707</v>
      </c>
      <c r="C31" s="10">
        <v>166617</v>
      </c>
      <c r="D31" s="10">
        <v>493835</v>
      </c>
      <c r="E31" s="10">
        <v>846147</v>
      </c>
      <c r="F31" s="10">
        <v>117393.8</v>
      </c>
      <c r="G31" s="10">
        <v>206731</v>
      </c>
      <c r="H31" s="10">
        <v>200291</v>
      </c>
      <c r="I31" s="10">
        <v>763525.75</v>
      </c>
      <c r="J31" s="10">
        <v>45509</v>
      </c>
      <c r="K31" s="10">
        <v>119519.18</v>
      </c>
      <c r="L31" s="10">
        <v>399460</v>
      </c>
      <c r="M31" s="10">
        <v>981181</v>
      </c>
      <c r="N31" s="10">
        <v>279079</v>
      </c>
      <c r="O31" s="10">
        <v>45668.84</v>
      </c>
      <c r="P31" s="10">
        <v>183458.07</v>
      </c>
      <c r="Q31" s="10">
        <v>44492.69</v>
      </c>
      <c r="R31" s="10">
        <v>149278.79</v>
      </c>
      <c r="S31" s="10">
        <v>153138.60999999999</v>
      </c>
      <c r="T31" s="10">
        <v>970500.21</v>
      </c>
      <c r="U31" s="10">
        <v>49583</v>
      </c>
      <c r="V31" s="10">
        <v>40712</v>
      </c>
      <c r="W31" s="10">
        <v>250369</v>
      </c>
      <c r="X31" s="10">
        <v>171588.7</v>
      </c>
      <c r="Y31" s="10">
        <v>303140</v>
      </c>
      <c r="Z31" s="10">
        <v>222310</v>
      </c>
      <c r="AA31" s="10">
        <v>497494</v>
      </c>
      <c r="AB31" s="10">
        <v>463422</v>
      </c>
      <c r="AC31" s="10">
        <v>4094610.53</v>
      </c>
      <c r="AD31" s="10">
        <v>823104</v>
      </c>
      <c r="AE31" s="10">
        <v>890882</v>
      </c>
      <c r="AF31" s="10">
        <v>107212</v>
      </c>
      <c r="AG31" s="63">
        <f t="shared" si="5"/>
        <v>14169960.170000002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1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37" style="71" bestFit="1" customWidth="1"/>
    <col min="2" max="65" width="16" style="71" customWidth="1"/>
    <col min="66" max="16384" width="9.140625" style="71"/>
  </cols>
  <sheetData>
    <row r="1" spans="1:65" ht="18.75" x14ac:dyDescent="0.3">
      <c r="A1" s="4" t="s">
        <v>193</v>
      </c>
    </row>
    <row r="2" spans="1:65" x14ac:dyDescent="0.25">
      <c r="A2" s="13" t="s">
        <v>98</v>
      </c>
    </row>
    <row r="3" spans="1:65" x14ac:dyDescent="0.25">
      <c r="A3" s="27" t="s">
        <v>182</v>
      </c>
    </row>
    <row r="4" spans="1:65" x14ac:dyDescent="0.25">
      <c r="A4" s="1" t="s">
        <v>0</v>
      </c>
      <c r="B4" s="147" t="s">
        <v>1</v>
      </c>
      <c r="C4" s="148"/>
      <c r="D4" s="147" t="s">
        <v>233</v>
      </c>
      <c r="E4" s="148"/>
      <c r="F4" s="147" t="s">
        <v>2</v>
      </c>
      <c r="G4" s="148"/>
      <c r="H4" s="147" t="s">
        <v>3</v>
      </c>
      <c r="I4" s="148"/>
      <c r="J4" s="147" t="s">
        <v>242</v>
      </c>
      <c r="K4" s="148"/>
      <c r="L4" s="147" t="s">
        <v>234</v>
      </c>
      <c r="M4" s="148"/>
      <c r="N4" s="147" t="s">
        <v>5</v>
      </c>
      <c r="O4" s="148"/>
      <c r="P4" s="147" t="s">
        <v>4</v>
      </c>
      <c r="Q4" s="148"/>
      <c r="R4" s="147" t="s">
        <v>6</v>
      </c>
      <c r="S4" s="148"/>
      <c r="T4" s="147" t="s">
        <v>254</v>
      </c>
      <c r="U4" s="148"/>
      <c r="V4" s="147" t="s">
        <v>7</v>
      </c>
      <c r="W4" s="148"/>
      <c r="X4" s="147" t="s">
        <v>8</v>
      </c>
      <c r="Y4" s="148"/>
      <c r="Z4" s="147" t="s">
        <v>9</v>
      </c>
      <c r="AA4" s="148"/>
      <c r="AB4" s="147" t="s">
        <v>241</v>
      </c>
      <c r="AC4" s="148"/>
      <c r="AD4" s="147" t="s">
        <v>10</v>
      </c>
      <c r="AE4" s="148"/>
      <c r="AF4" s="147" t="s">
        <v>11</v>
      </c>
      <c r="AG4" s="148"/>
      <c r="AH4" s="147" t="s">
        <v>235</v>
      </c>
      <c r="AI4" s="148"/>
      <c r="AJ4" s="147" t="s">
        <v>253</v>
      </c>
      <c r="AK4" s="148"/>
      <c r="AL4" s="147" t="s">
        <v>12</v>
      </c>
      <c r="AM4" s="148"/>
      <c r="AN4" s="147" t="s">
        <v>236</v>
      </c>
      <c r="AO4" s="148"/>
      <c r="AP4" s="147" t="s">
        <v>237</v>
      </c>
      <c r="AQ4" s="148"/>
      <c r="AR4" s="147" t="s">
        <v>240</v>
      </c>
      <c r="AS4" s="148"/>
      <c r="AT4" s="147" t="s">
        <v>13</v>
      </c>
      <c r="AU4" s="148"/>
      <c r="AV4" s="147" t="s">
        <v>14</v>
      </c>
      <c r="AW4" s="148"/>
      <c r="AX4" s="147" t="s">
        <v>15</v>
      </c>
      <c r="AY4" s="148"/>
      <c r="AZ4" s="147" t="s">
        <v>16</v>
      </c>
      <c r="BA4" s="148"/>
      <c r="BB4" s="147" t="s">
        <v>17</v>
      </c>
      <c r="BC4" s="148"/>
      <c r="BD4" s="147" t="s">
        <v>238</v>
      </c>
      <c r="BE4" s="148"/>
      <c r="BF4" s="147" t="s">
        <v>239</v>
      </c>
      <c r="BG4" s="148"/>
      <c r="BH4" s="147" t="s">
        <v>18</v>
      </c>
      <c r="BI4" s="148"/>
      <c r="BJ4" s="147" t="s">
        <v>19</v>
      </c>
      <c r="BK4" s="148"/>
      <c r="BL4" s="149" t="s">
        <v>20</v>
      </c>
      <c r="BM4" s="150"/>
    </row>
    <row r="5" spans="1:65" ht="30" x14ac:dyDescent="0.25">
      <c r="A5" s="1"/>
      <c r="B5" s="53" t="s">
        <v>243</v>
      </c>
      <c r="C5" s="54" t="s">
        <v>244</v>
      </c>
      <c r="D5" s="53" t="s">
        <v>243</v>
      </c>
      <c r="E5" s="54" t="s">
        <v>244</v>
      </c>
      <c r="F5" s="53" t="s">
        <v>243</v>
      </c>
      <c r="G5" s="54" t="s">
        <v>244</v>
      </c>
      <c r="H5" s="53" t="s">
        <v>243</v>
      </c>
      <c r="I5" s="54" t="s">
        <v>244</v>
      </c>
      <c r="J5" s="53" t="s">
        <v>243</v>
      </c>
      <c r="K5" s="54" t="s">
        <v>244</v>
      </c>
      <c r="L5" s="53" t="s">
        <v>243</v>
      </c>
      <c r="M5" s="54" t="s">
        <v>244</v>
      </c>
      <c r="N5" s="53" t="s">
        <v>243</v>
      </c>
      <c r="O5" s="54" t="s">
        <v>244</v>
      </c>
      <c r="P5" s="53" t="s">
        <v>243</v>
      </c>
      <c r="Q5" s="54" t="s">
        <v>244</v>
      </c>
      <c r="R5" s="53" t="s">
        <v>243</v>
      </c>
      <c r="S5" s="54" t="s">
        <v>244</v>
      </c>
      <c r="T5" s="53" t="s">
        <v>243</v>
      </c>
      <c r="U5" s="54" t="s">
        <v>244</v>
      </c>
      <c r="V5" s="53" t="s">
        <v>243</v>
      </c>
      <c r="W5" s="54" t="s">
        <v>244</v>
      </c>
      <c r="X5" s="53" t="s">
        <v>243</v>
      </c>
      <c r="Y5" s="54" t="s">
        <v>244</v>
      </c>
      <c r="Z5" s="53" t="s">
        <v>243</v>
      </c>
      <c r="AA5" s="54" t="s">
        <v>244</v>
      </c>
      <c r="AB5" s="53" t="s">
        <v>243</v>
      </c>
      <c r="AC5" s="54" t="s">
        <v>244</v>
      </c>
      <c r="AD5" s="53" t="s">
        <v>243</v>
      </c>
      <c r="AE5" s="54" t="s">
        <v>244</v>
      </c>
      <c r="AF5" s="53" t="s">
        <v>243</v>
      </c>
      <c r="AG5" s="54" t="s">
        <v>244</v>
      </c>
      <c r="AH5" s="53" t="s">
        <v>243</v>
      </c>
      <c r="AI5" s="54" t="s">
        <v>244</v>
      </c>
      <c r="AJ5" s="53" t="s">
        <v>243</v>
      </c>
      <c r="AK5" s="54" t="s">
        <v>244</v>
      </c>
      <c r="AL5" s="53" t="s">
        <v>243</v>
      </c>
      <c r="AM5" s="54" t="s">
        <v>244</v>
      </c>
      <c r="AN5" s="53" t="s">
        <v>243</v>
      </c>
      <c r="AO5" s="54" t="s">
        <v>244</v>
      </c>
      <c r="AP5" s="53" t="s">
        <v>243</v>
      </c>
      <c r="AQ5" s="54" t="s">
        <v>244</v>
      </c>
      <c r="AR5" s="53" t="s">
        <v>243</v>
      </c>
      <c r="AS5" s="54" t="s">
        <v>244</v>
      </c>
      <c r="AT5" s="53" t="s">
        <v>243</v>
      </c>
      <c r="AU5" s="54" t="s">
        <v>244</v>
      </c>
      <c r="AV5" s="53" t="s">
        <v>243</v>
      </c>
      <c r="AW5" s="54" t="s">
        <v>244</v>
      </c>
      <c r="AX5" s="53" t="s">
        <v>243</v>
      </c>
      <c r="AY5" s="54" t="s">
        <v>244</v>
      </c>
      <c r="AZ5" s="53" t="s">
        <v>243</v>
      </c>
      <c r="BA5" s="54" t="s">
        <v>244</v>
      </c>
      <c r="BB5" s="53" t="s">
        <v>243</v>
      </c>
      <c r="BC5" s="54" t="s">
        <v>244</v>
      </c>
      <c r="BD5" s="53" t="s">
        <v>243</v>
      </c>
      <c r="BE5" s="54" t="s">
        <v>244</v>
      </c>
      <c r="BF5" s="53" t="s">
        <v>243</v>
      </c>
      <c r="BG5" s="54" t="s">
        <v>244</v>
      </c>
      <c r="BH5" s="53" t="s">
        <v>243</v>
      </c>
      <c r="BI5" s="54" t="s">
        <v>244</v>
      </c>
      <c r="BJ5" s="53" t="s">
        <v>243</v>
      </c>
      <c r="BK5" s="54" t="s">
        <v>244</v>
      </c>
      <c r="BL5" s="105" t="s">
        <v>243</v>
      </c>
      <c r="BM5" s="106" t="s">
        <v>244</v>
      </c>
    </row>
    <row r="6" spans="1:65" x14ac:dyDescent="0.25">
      <c r="A6" s="92" t="s">
        <v>291</v>
      </c>
      <c r="B6" s="92">
        <v>1</v>
      </c>
      <c r="C6" s="92">
        <v>2</v>
      </c>
      <c r="D6" s="76"/>
      <c r="E6" s="76"/>
      <c r="F6" s="76"/>
      <c r="G6" s="76"/>
      <c r="H6" s="92">
        <v>42363</v>
      </c>
      <c r="I6" s="92">
        <v>103843</v>
      </c>
      <c r="J6" s="76"/>
      <c r="K6" s="76"/>
      <c r="L6" s="92">
        <v>12216</v>
      </c>
      <c r="M6" s="92">
        <v>24844</v>
      </c>
      <c r="N6" s="76"/>
      <c r="O6" s="76"/>
      <c r="P6" s="92">
        <v>162.78</v>
      </c>
      <c r="Q6" s="92">
        <v>802.58</v>
      </c>
      <c r="R6" s="92">
        <v>8029.97</v>
      </c>
      <c r="S6" s="92">
        <v>23810.959999999999</v>
      </c>
      <c r="T6" s="92">
        <v>4096</v>
      </c>
      <c r="U6" s="92">
        <v>13876</v>
      </c>
      <c r="V6" s="92">
        <v>30133</v>
      </c>
      <c r="W6" s="92">
        <v>75264</v>
      </c>
      <c r="X6" s="92">
        <v>57428</v>
      </c>
      <c r="Y6" s="92">
        <v>161029</v>
      </c>
      <c r="Z6" s="92">
        <v>21181</v>
      </c>
      <c r="AA6" s="92">
        <v>57700</v>
      </c>
      <c r="AB6" s="92">
        <v>1258</v>
      </c>
      <c r="AC6" s="92">
        <v>2234</v>
      </c>
      <c r="AD6" s="92">
        <v>2344.41</v>
      </c>
      <c r="AE6" s="92">
        <v>6660.63</v>
      </c>
      <c r="AF6" s="92">
        <v>3461.07</v>
      </c>
      <c r="AG6" s="92">
        <v>8315.0400000000009</v>
      </c>
      <c r="AH6" s="76"/>
      <c r="AI6" s="76"/>
      <c r="AJ6" s="76"/>
      <c r="AK6" s="76"/>
      <c r="AL6" s="92">
        <v>27568.69</v>
      </c>
      <c r="AM6" s="92">
        <v>67376.83</v>
      </c>
      <c r="AN6" s="92">
        <v>653</v>
      </c>
      <c r="AO6" s="92">
        <v>605</v>
      </c>
      <c r="AP6" s="92">
        <v>517</v>
      </c>
      <c r="AQ6" s="92">
        <v>852</v>
      </c>
      <c r="AR6" s="76">
        <v>20772</v>
      </c>
      <c r="AS6" s="76">
        <v>63783</v>
      </c>
      <c r="AT6" s="92">
        <v>7988.85</v>
      </c>
      <c r="AU6" s="92">
        <v>18660.97</v>
      </c>
      <c r="AV6" s="92">
        <v>28637</v>
      </c>
      <c r="AW6" s="92">
        <v>61311</v>
      </c>
      <c r="AX6" s="92">
        <v>1491</v>
      </c>
      <c r="AY6" s="92">
        <v>2557</v>
      </c>
      <c r="AZ6" s="76"/>
      <c r="BA6" s="76"/>
      <c r="BB6" s="92">
        <v>37093</v>
      </c>
      <c r="BC6" s="92">
        <v>92397</v>
      </c>
      <c r="BD6" s="92">
        <v>106099.65</v>
      </c>
      <c r="BE6" s="92">
        <v>269574.40999999997</v>
      </c>
      <c r="BF6" s="92">
        <v>37061</v>
      </c>
      <c r="BG6" s="92">
        <v>102386</v>
      </c>
      <c r="BH6" s="92">
        <v>43702</v>
      </c>
      <c r="BI6" s="92">
        <v>108112</v>
      </c>
      <c r="BJ6" s="92">
        <v>3514</v>
      </c>
      <c r="BK6" s="92">
        <v>13787</v>
      </c>
      <c r="BL6" s="68">
        <f>SUM(B6+D6+F6+H6+J6+L6+N6+P6+R6+T6+V6+X6+Z6+AB6+AD6+AF6+AH6+AJ6+AL6+AN6+AP6+AR6+AT6+AV6+AX6+AZ6+BB6+BD6+BF6+BH6+BJ6)</f>
        <v>497771.42000000004</v>
      </c>
      <c r="BM6" s="68">
        <f>SUM(C6+E6+G6+I6+K6+M6+O6+Q6+S6+U6+W6+Y6+AA6+AC6+AE6+AG6+AI6+AK6+AM6+AO6+AQ6+AS6+AU6+AW6+AY6+BA6+BC6+BE6+BG6+BI6+BK6)</f>
        <v>1279783.42</v>
      </c>
    </row>
    <row r="7" spans="1:65" x14ac:dyDescent="0.25">
      <c r="A7" s="92" t="s">
        <v>292</v>
      </c>
      <c r="B7" s="92"/>
      <c r="C7" s="92"/>
      <c r="D7" s="76"/>
      <c r="E7" s="76"/>
      <c r="F7" s="76"/>
      <c r="G7" s="76"/>
      <c r="H7" s="92">
        <v>2104</v>
      </c>
      <c r="I7" s="92">
        <v>4127</v>
      </c>
      <c r="J7" s="76"/>
      <c r="K7" s="76"/>
      <c r="L7" s="92">
        <v>648</v>
      </c>
      <c r="M7" s="92">
        <v>922</v>
      </c>
      <c r="N7" s="76"/>
      <c r="O7" s="76"/>
      <c r="P7" s="92">
        <v>269.99</v>
      </c>
      <c r="Q7" s="92">
        <v>349.02</v>
      </c>
      <c r="R7" s="92">
        <v>1740</v>
      </c>
      <c r="S7" s="92">
        <v>4482.8100000000004</v>
      </c>
      <c r="T7" s="92">
        <v>5984</v>
      </c>
      <c r="U7" s="92">
        <v>19561</v>
      </c>
      <c r="V7" s="92">
        <v>2873</v>
      </c>
      <c r="W7" s="92">
        <v>11153</v>
      </c>
      <c r="X7" s="92">
        <v>3704</v>
      </c>
      <c r="Y7" s="92">
        <v>7126</v>
      </c>
      <c r="Z7" s="92">
        <v>2534</v>
      </c>
      <c r="AA7" s="92">
        <v>5341</v>
      </c>
      <c r="AB7" s="92">
        <v>302</v>
      </c>
      <c r="AC7" s="92">
        <v>507</v>
      </c>
      <c r="AD7" s="92">
        <v>343.22</v>
      </c>
      <c r="AE7" s="92">
        <v>444.42</v>
      </c>
      <c r="AF7" s="92">
        <v>523</v>
      </c>
      <c r="AG7" s="92">
        <v>3055.96</v>
      </c>
      <c r="AH7" s="76"/>
      <c r="AI7" s="76"/>
      <c r="AJ7" s="76"/>
      <c r="AK7" s="76"/>
      <c r="AL7" s="92">
        <v>4046.87</v>
      </c>
      <c r="AM7" s="92">
        <v>5542.19</v>
      </c>
      <c r="AN7" s="92">
        <v>34</v>
      </c>
      <c r="AO7" s="92">
        <v>43</v>
      </c>
      <c r="AP7" s="92">
        <v>157</v>
      </c>
      <c r="AQ7" s="92">
        <v>455</v>
      </c>
      <c r="AR7" s="76">
        <v>1372</v>
      </c>
      <c r="AS7" s="76">
        <v>4748</v>
      </c>
      <c r="AT7" s="92">
        <v>1668.05</v>
      </c>
      <c r="AU7" s="92">
        <v>4998.8</v>
      </c>
      <c r="AV7" s="92">
        <v>265</v>
      </c>
      <c r="AW7" s="92">
        <v>258</v>
      </c>
      <c r="AX7" s="92">
        <v>330</v>
      </c>
      <c r="AY7" s="92">
        <v>416</v>
      </c>
      <c r="AZ7" s="76"/>
      <c r="BA7" s="76"/>
      <c r="BB7" s="92">
        <v>3306</v>
      </c>
      <c r="BC7" s="92">
        <v>7897</v>
      </c>
      <c r="BD7" s="92">
        <v>28864.86</v>
      </c>
      <c r="BE7" s="92">
        <v>47779.68</v>
      </c>
      <c r="BF7" s="92">
        <v>5115</v>
      </c>
      <c r="BG7" s="92">
        <v>7129</v>
      </c>
      <c r="BH7" s="92">
        <v>2844</v>
      </c>
      <c r="BI7" s="92">
        <v>9349</v>
      </c>
      <c r="BJ7" s="92">
        <v>170</v>
      </c>
      <c r="BK7" s="92">
        <v>213</v>
      </c>
      <c r="BL7" s="68">
        <f t="shared" ref="BL7:BL12" si="0">SUM(B7+D7+F7+H7+J7+L7+N7+P7+R7+T7+V7+X7+Z7+AB7+AD7+AF7+AH7+AJ7+AL7+AN7+AP7+AR7+AT7+AV7+AX7+AZ7+BB7+BD7+BF7+BH7+BJ7)</f>
        <v>69197.989999999991</v>
      </c>
      <c r="BM7" s="68">
        <f t="shared" ref="BM7:BM12" si="1">SUM(C7+E7+G7+I7+K7+M7+O7+Q7+S7+U7+W7+Y7+AA7+AC7+AE7+AG7+AI7+AK7+AM7+AO7+AQ7+AS7+AU7+AW7+AY7+BA7+BC7+BE7+BG7+BI7+BK7)</f>
        <v>145897.88</v>
      </c>
    </row>
    <row r="8" spans="1:65" x14ac:dyDescent="0.25">
      <c r="A8" s="92" t="s">
        <v>293</v>
      </c>
      <c r="B8" s="92">
        <v>0</v>
      </c>
      <c r="C8" s="92">
        <v>0</v>
      </c>
      <c r="D8" s="76"/>
      <c r="E8" s="76"/>
      <c r="F8" s="76"/>
      <c r="G8" s="76"/>
      <c r="H8" s="92">
        <v>-37524</v>
      </c>
      <c r="I8" s="92">
        <v>-94622</v>
      </c>
      <c r="J8" s="76"/>
      <c r="K8" s="76"/>
      <c r="L8" s="92">
        <v>8640</v>
      </c>
      <c r="M8" s="92">
        <v>17623</v>
      </c>
      <c r="N8" s="76"/>
      <c r="O8" s="76"/>
      <c r="P8" s="92">
        <v>251.16</v>
      </c>
      <c r="Q8" s="92">
        <v>916.63</v>
      </c>
      <c r="R8" s="92">
        <v>7641.93</v>
      </c>
      <c r="S8" s="92">
        <v>19827.490000000002</v>
      </c>
      <c r="T8" s="92">
        <v>8823</v>
      </c>
      <c r="U8" s="92">
        <v>29389</v>
      </c>
      <c r="V8" s="92">
        <v>-26318</v>
      </c>
      <c r="W8" s="92">
        <v>-68718</v>
      </c>
      <c r="X8" s="92">
        <v>45112</v>
      </c>
      <c r="Y8" s="92">
        <v>127378</v>
      </c>
      <c r="Z8" s="92">
        <v>19746</v>
      </c>
      <c r="AA8" s="92">
        <v>53652</v>
      </c>
      <c r="AB8" s="92">
        <v>989</v>
      </c>
      <c r="AC8" s="92">
        <v>1924</v>
      </c>
      <c r="AD8" s="92">
        <v>1500.84</v>
      </c>
      <c r="AE8" s="92">
        <v>5559.12</v>
      </c>
      <c r="AF8" s="92">
        <v>-2672.77</v>
      </c>
      <c r="AG8" s="92">
        <v>-9151.4</v>
      </c>
      <c r="AH8" s="76"/>
      <c r="AI8" s="76"/>
      <c r="AJ8" s="76"/>
      <c r="AK8" s="76"/>
      <c r="AL8" s="92">
        <v>8762.1299999999992</v>
      </c>
      <c r="AM8" s="92">
        <v>15682.3</v>
      </c>
      <c r="AN8" s="92">
        <v>-177</v>
      </c>
      <c r="AO8" s="92">
        <v>-239</v>
      </c>
      <c r="AP8" s="92">
        <v>559</v>
      </c>
      <c r="AQ8" s="92">
        <v>1316</v>
      </c>
      <c r="AR8" s="76">
        <v>14778</v>
      </c>
      <c r="AS8" s="76">
        <v>46686</v>
      </c>
      <c r="AT8" s="92">
        <v>-8040.88</v>
      </c>
      <c r="AU8" s="92">
        <v>-20338.349999999999</v>
      </c>
      <c r="AV8" s="92">
        <v>19858</v>
      </c>
      <c r="AW8" s="92">
        <v>43661</v>
      </c>
      <c r="AX8" s="92">
        <v>871</v>
      </c>
      <c r="AY8" s="92">
        <v>1572</v>
      </c>
      <c r="AZ8" s="76"/>
      <c r="BA8" s="76"/>
      <c r="BB8" s="92">
        <v>27471</v>
      </c>
      <c r="BC8" s="92">
        <v>74145</v>
      </c>
      <c r="BD8" s="92">
        <v>74236.990000000005</v>
      </c>
      <c r="BE8" s="92">
        <v>183662.54</v>
      </c>
      <c r="BF8" s="92">
        <v>24330</v>
      </c>
      <c r="BG8" s="92">
        <v>66754</v>
      </c>
      <c r="BH8" s="92">
        <v>22925</v>
      </c>
      <c r="BI8" s="92">
        <v>58124</v>
      </c>
      <c r="BJ8" s="92">
        <v>2088</v>
      </c>
      <c r="BK8" s="92">
        <v>10760</v>
      </c>
      <c r="BL8" s="68">
        <f t="shared" si="0"/>
        <v>213850.40000000002</v>
      </c>
      <c r="BM8" s="68">
        <f t="shared" si="1"/>
        <v>565563.33000000007</v>
      </c>
    </row>
    <row r="9" spans="1:65" s="7" customFormat="1" x14ac:dyDescent="0.25">
      <c r="A9" s="10" t="s">
        <v>294</v>
      </c>
      <c r="B9" s="10">
        <v>1</v>
      </c>
      <c r="C9" s="10">
        <v>2</v>
      </c>
      <c r="D9" s="10"/>
      <c r="E9" s="10"/>
      <c r="F9" s="10"/>
      <c r="G9" s="10"/>
      <c r="H9" s="10">
        <v>6943</v>
      </c>
      <c r="I9" s="10">
        <v>13347</v>
      </c>
      <c r="J9" s="10"/>
      <c r="K9" s="10"/>
      <c r="L9" s="10">
        <v>4224</v>
      </c>
      <c r="M9" s="10">
        <v>8143</v>
      </c>
      <c r="N9" s="10"/>
      <c r="O9" s="10"/>
      <c r="P9" s="10">
        <v>181.61</v>
      </c>
      <c r="Q9" s="10">
        <v>234.97</v>
      </c>
      <c r="R9" s="10">
        <v>2128.0300000000002</v>
      </c>
      <c r="S9" s="10">
        <v>8466.2900000000009</v>
      </c>
      <c r="T9" s="10">
        <v>1257</v>
      </c>
      <c r="U9" s="10">
        <v>4048</v>
      </c>
      <c r="V9" s="10">
        <v>6689</v>
      </c>
      <c r="W9" s="10">
        <v>17699</v>
      </c>
      <c r="X9" s="10">
        <v>16020</v>
      </c>
      <c r="Y9" s="10">
        <v>40777</v>
      </c>
      <c r="Z9" s="10">
        <v>3969</v>
      </c>
      <c r="AA9" s="10">
        <v>9389</v>
      </c>
      <c r="AB9" s="10">
        <v>572</v>
      </c>
      <c r="AC9" s="10">
        <v>817</v>
      </c>
      <c r="AD9" s="10">
        <v>1186.78</v>
      </c>
      <c r="AE9" s="10">
        <v>1545.92</v>
      </c>
      <c r="AF9" s="10">
        <v>1311.3</v>
      </c>
      <c r="AG9" s="10">
        <v>2219.6</v>
      </c>
      <c r="AH9" s="10"/>
      <c r="AI9" s="10"/>
      <c r="AJ9" s="10"/>
      <c r="AK9" s="10"/>
      <c r="AL9" s="10">
        <v>22853.43</v>
      </c>
      <c r="AM9" s="10">
        <v>57236.72</v>
      </c>
      <c r="AN9" s="10">
        <v>510</v>
      </c>
      <c r="AO9" s="10">
        <v>408</v>
      </c>
      <c r="AP9" s="10">
        <v>115</v>
      </c>
      <c r="AQ9" s="10">
        <v>-8</v>
      </c>
      <c r="AR9" s="10">
        <v>7367</v>
      </c>
      <c r="AS9" s="10">
        <v>21845</v>
      </c>
      <c r="AT9" s="10"/>
      <c r="AU9" s="10"/>
      <c r="AV9" s="10">
        <v>9044</v>
      </c>
      <c r="AW9" s="10">
        <v>17908</v>
      </c>
      <c r="AX9" s="10">
        <v>950</v>
      </c>
      <c r="AY9" s="10">
        <v>1401</v>
      </c>
      <c r="AZ9" s="10"/>
      <c r="BA9" s="10"/>
      <c r="BB9" s="10">
        <v>12928</v>
      </c>
      <c r="BC9" s="10">
        <v>26149</v>
      </c>
      <c r="BD9" s="10">
        <v>60727.53</v>
      </c>
      <c r="BE9" s="10">
        <v>133691.54999999999</v>
      </c>
      <c r="BF9" s="10">
        <v>17846</v>
      </c>
      <c r="BG9" s="10">
        <v>42761</v>
      </c>
      <c r="BH9" s="10">
        <v>23621</v>
      </c>
      <c r="BI9" s="10">
        <v>59338</v>
      </c>
      <c r="BJ9" s="10">
        <v>1596</v>
      </c>
      <c r="BK9" s="10">
        <v>3239</v>
      </c>
      <c r="BL9" s="63">
        <f t="shared" si="0"/>
        <v>202040.68</v>
      </c>
      <c r="BM9" s="63">
        <f t="shared" si="1"/>
        <v>470658.05</v>
      </c>
    </row>
    <row r="10" spans="1:65" x14ac:dyDescent="0.25">
      <c r="A10" s="92" t="s">
        <v>295</v>
      </c>
      <c r="B10" s="92">
        <v>1</v>
      </c>
      <c r="C10" s="92">
        <v>1</v>
      </c>
      <c r="D10" s="92"/>
      <c r="E10" s="92"/>
      <c r="F10" s="92"/>
      <c r="G10" s="92"/>
      <c r="H10" s="92">
        <v>29531</v>
      </c>
      <c r="I10" s="92">
        <v>28963</v>
      </c>
      <c r="J10" s="92"/>
      <c r="K10" s="92"/>
      <c r="L10" s="92"/>
      <c r="M10" s="92">
        <v>43602</v>
      </c>
      <c r="N10" s="92"/>
      <c r="O10" s="92"/>
      <c r="P10" s="92">
        <v>272.45</v>
      </c>
      <c r="Q10" s="92">
        <v>259.33</v>
      </c>
      <c r="R10" s="92">
        <v>16289.09</v>
      </c>
      <c r="S10" s="92">
        <v>14146.29</v>
      </c>
      <c r="T10" s="92">
        <v>4913</v>
      </c>
      <c r="U10" s="92">
        <v>2806</v>
      </c>
      <c r="V10" s="92">
        <v>42096</v>
      </c>
      <c r="W10" s="92">
        <v>37927</v>
      </c>
      <c r="X10" s="92">
        <v>48930</v>
      </c>
      <c r="Y10" s="92">
        <v>32549</v>
      </c>
      <c r="Z10" s="92"/>
      <c r="AA10" s="92">
        <v>5551</v>
      </c>
      <c r="AB10" s="92">
        <v>3064</v>
      </c>
      <c r="AC10" s="92">
        <v>3023</v>
      </c>
      <c r="AD10" s="92"/>
      <c r="AE10" s="92"/>
      <c r="AF10" s="92">
        <v>3653.51</v>
      </c>
      <c r="AG10" s="92">
        <v>3260.1</v>
      </c>
      <c r="AH10" s="92"/>
      <c r="AI10" s="92"/>
      <c r="AJ10" s="92"/>
      <c r="AK10" s="92"/>
      <c r="AL10" s="92">
        <v>44470.9</v>
      </c>
      <c r="AM10" s="92">
        <v>42346.28</v>
      </c>
      <c r="AN10" s="92">
        <v>11918</v>
      </c>
      <c r="AO10" s="92">
        <v>12363</v>
      </c>
      <c r="AP10" s="92">
        <v>145</v>
      </c>
      <c r="AQ10" s="92">
        <v>215</v>
      </c>
      <c r="AR10" s="92">
        <v>23228</v>
      </c>
      <c r="AS10" s="92">
        <v>17242</v>
      </c>
      <c r="AT10" s="92"/>
      <c r="AU10" s="92"/>
      <c r="AV10" s="92">
        <v>79256</v>
      </c>
      <c r="AW10" s="92">
        <v>78486</v>
      </c>
      <c r="AX10" s="92">
        <v>5649</v>
      </c>
      <c r="AY10" s="92">
        <v>5681</v>
      </c>
      <c r="AZ10" s="92"/>
      <c r="BA10" s="92"/>
      <c r="BB10" s="92">
        <v>49420</v>
      </c>
      <c r="BC10" s="92">
        <v>44663</v>
      </c>
      <c r="BD10" s="92"/>
      <c r="BE10" s="92"/>
      <c r="BF10" s="92">
        <v>0</v>
      </c>
      <c r="BG10" s="92"/>
      <c r="BH10" s="92">
        <v>52729</v>
      </c>
      <c r="BI10" s="92">
        <v>46885</v>
      </c>
      <c r="BJ10" s="92">
        <v>10716</v>
      </c>
      <c r="BK10" s="92">
        <v>10419</v>
      </c>
      <c r="BL10" s="68">
        <f t="shared" si="0"/>
        <v>426281.95</v>
      </c>
      <c r="BM10" s="68">
        <f t="shared" si="1"/>
        <v>430388</v>
      </c>
    </row>
    <row r="11" spans="1:65" x14ac:dyDescent="0.25">
      <c r="A11" s="2" t="s">
        <v>296</v>
      </c>
      <c r="B11" s="92">
        <v>1</v>
      </c>
      <c r="C11" s="92">
        <v>1</v>
      </c>
      <c r="D11" s="92"/>
      <c r="E11" s="92"/>
      <c r="F11" s="92"/>
      <c r="G11" s="92"/>
      <c r="H11" s="92">
        <v>29442</v>
      </c>
      <c r="I11" s="92">
        <v>29442</v>
      </c>
      <c r="J11" s="92"/>
      <c r="K11" s="92"/>
      <c r="L11" s="92">
        <v>377</v>
      </c>
      <c r="M11" s="92">
        <v>44502</v>
      </c>
      <c r="N11" s="92"/>
      <c r="O11" s="92"/>
      <c r="P11" s="92">
        <v>362.64</v>
      </c>
      <c r="Q11" s="92">
        <v>362.64</v>
      </c>
      <c r="R11" s="92">
        <v>14962.77</v>
      </c>
      <c r="S11" s="92">
        <v>14962.77</v>
      </c>
      <c r="T11" s="92">
        <v>4692</v>
      </c>
      <c r="U11" s="92">
        <v>4692</v>
      </c>
      <c r="V11" s="92">
        <v>-41470</v>
      </c>
      <c r="W11" s="92">
        <v>-41470</v>
      </c>
      <c r="X11" s="92">
        <v>49084</v>
      </c>
      <c r="Y11" s="92">
        <v>49084</v>
      </c>
      <c r="Z11" s="92">
        <v>1338</v>
      </c>
      <c r="AA11" s="92">
        <v>10245</v>
      </c>
      <c r="AB11" s="92">
        <v>3400</v>
      </c>
      <c r="AC11" s="92">
        <v>3400</v>
      </c>
      <c r="AD11" s="92"/>
      <c r="AE11" s="92"/>
      <c r="AF11" s="92">
        <v>-3707.49</v>
      </c>
      <c r="AG11" s="92">
        <v>-3707.49</v>
      </c>
      <c r="AH11" s="92"/>
      <c r="AI11" s="92"/>
      <c r="AJ11" s="92"/>
      <c r="AK11" s="92"/>
      <c r="AL11" s="92">
        <v>45470.94</v>
      </c>
      <c r="AM11" s="92">
        <v>45470.94</v>
      </c>
      <c r="AN11" s="92">
        <v>-12321</v>
      </c>
      <c r="AO11" s="92">
        <v>-12321</v>
      </c>
      <c r="AP11" s="92">
        <v>149</v>
      </c>
      <c r="AQ11" s="92">
        <v>149</v>
      </c>
      <c r="AR11" s="92">
        <v>22005</v>
      </c>
      <c r="AS11" s="92">
        <v>22005</v>
      </c>
      <c r="AT11" s="92"/>
      <c r="AU11" s="92"/>
      <c r="AV11" s="92">
        <v>79538</v>
      </c>
      <c r="AW11" s="92">
        <v>79538</v>
      </c>
      <c r="AX11" s="92">
        <v>6019</v>
      </c>
      <c r="AY11" s="92">
        <v>6019</v>
      </c>
      <c r="AZ11" s="92"/>
      <c r="BA11" s="92"/>
      <c r="BB11" s="92">
        <v>51793</v>
      </c>
      <c r="BC11" s="92">
        <v>51793</v>
      </c>
      <c r="BD11" s="92"/>
      <c r="BE11" s="92"/>
      <c r="BF11" s="92">
        <v>277</v>
      </c>
      <c r="BG11" s="92">
        <v>-1446</v>
      </c>
      <c r="BH11" s="92">
        <v>53090</v>
      </c>
      <c r="BI11" s="92">
        <v>53090</v>
      </c>
      <c r="BJ11" s="92">
        <v>-10857</v>
      </c>
      <c r="BK11" s="92">
        <v>-10857</v>
      </c>
      <c r="BL11" s="68">
        <f t="shared" si="0"/>
        <v>293645.86</v>
      </c>
      <c r="BM11" s="68">
        <f t="shared" si="1"/>
        <v>344954.86</v>
      </c>
    </row>
    <row r="12" spans="1:65" s="7" customFormat="1" x14ac:dyDescent="0.25">
      <c r="A12" s="10" t="s">
        <v>192</v>
      </c>
      <c r="B12" s="10">
        <v>1</v>
      </c>
      <c r="C12" s="10">
        <v>2</v>
      </c>
      <c r="D12" s="10"/>
      <c r="E12" s="10"/>
      <c r="F12" s="10"/>
      <c r="G12" s="10"/>
      <c r="H12" s="10">
        <v>7032</v>
      </c>
      <c r="I12" s="10">
        <v>12868</v>
      </c>
      <c r="J12" s="10"/>
      <c r="K12" s="10"/>
      <c r="L12" s="10">
        <v>3847</v>
      </c>
      <c r="M12" s="10">
        <v>7243</v>
      </c>
      <c r="N12" s="10"/>
      <c r="O12" s="10"/>
      <c r="P12" s="10">
        <v>91.42</v>
      </c>
      <c r="Q12" s="10">
        <v>131.66</v>
      </c>
      <c r="R12" s="10">
        <v>3454.36</v>
      </c>
      <c r="S12" s="10">
        <v>7649.81</v>
      </c>
      <c r="T12" s="10">
        <v>1479</v>
      </c>
      <c r="U12" s="10">
        <v>2162</v>
      </c>
      <c r="V12" s="10">
        <v>7315</v>
      </c>
      <c r="W12" s="10">
        <v>14156</v>
      </c>
      <c r="X12" s="10">
        <v>15866</v>
      </c>
      <c r="Y12" s="10">
        <v>30442</v>
      </c>
      <c r="Z12" s="10">
        <v>2631</v>
      </c>
      <c r="AA12" s="10">
        <v>4695</v>
      </c>
      <c r="AB12" s="10">
        <v>235</v>
      </c>
      <c r="AC12" s="10">
        <v>439</v>
      </c>
      <c r="AD12" s="10">
        <v>722.16</v>
      </c>
      <c r="AE12" s="10">
        <v>1194.48</v>
      </c>
      <c r="AF12" s="10">
        <v>1257.32</v>
      </c>
      <c r="AG12" s="10">
        <v>1772.21</v>
      </c>
      <c r="AH12" s="10"/>
      <c r="AI12" s="10"/>
      <c r="AJ12" s="10"/>
      <c r="AK12" s="10"/>
      <c r="AL12" s="10">
        <v>21853.4</v>
      </c>
      <c r="AM12" s="10">
        <v>54112.07</v>
      </c>
      <c r="AN12" s="10">
        <v>106</v>
      </c>
      <c r="AO12" s="10">
        <v>450</v>
      </c>
      <c r="AP12" s="10">
        <v>111</v>
      </c>
      <c r="AQ12" s="10">
        <v>58</v>
      </c>
      <c r="AR12" s="10">
        <v>8590</v>
      </c>
      <c r="AS12" s="10">
        <v>17082</v>
      </c>
      <c r="AT12" s="10">
        <v>1761.51</v>
      </c>
      <c r="AU12" s="10">
        <v>3106.91</v>
      </c>
      <c r="AV12" s="10">
        <v>8762</v>
      </c>
      <c r="AW12" s="10">
        <v>16856</v>
      </c>
      <c r="AX12" s="10">
        <v>580</v>
      </c>
      <c r="AY12" s="10">
        <v>1063</v>
      </c>
      <c r="AZ12" s="10"/>
      <c r="BA12" s="10"/>
      <c r="BB12" s="10">
        <v>10555</v>
      </c>
      <c r="BC12" s="10">
        <v>19018</v>
      </c>
      <c r="BD12" s="10">
        <v>63321.4</v>
      </c>
      <c r="BE12" s="10">
        <v>126709.24</v>
      </c>
      <c r="BF12" s="10">
        <v>17569</v>
      </c>
      <c r="BG12" s="10">
        <v>44207</v>
      </c>
      <c r="BH12" s="10">
        <v>23260</v>
      </c>
      <c r="BI12" s="10">
        <v>53132</v>
      </c>
      <c r="BJ12" s="10">
        <v>1454</v>
      </c>
      <c r="BK12" s="10">
        <v>2802</v>
      </c>
      <c r="BL12" s="63">
        <f t="shared" si="0"/>
        <v>201854.57</v>
      </c>
      <c r="BM12" s="63">
        <f t="shared" si="1"/>
        <v>421351.38</v>
      </c>
    </row>
    <row r="14" spans="1:65" x14ac:dyDescent="0.25">
      <c r="A14" s="23" t="s">
        <v>183</v>
      </c>
    </row>
    <row r="15" spans="1:65" x14ac:dyDescent="0.25">
      <c r="A15" s="1" t="s">
        <v>0</v>
      </c>
      <c r="B15" s="147" t="s">
        <v>1</v>
      </c>
      <c r="C15" s="148"/>
      <c r="D15" s="147" t="s">
        <v>233</v>
      </c>
      <c r="E15" s="148"/>
      <c r="F15" s="147" t="s">
        <v>2</v>
      </c>
      <c r="G15" s="148"/>
      <c r="H15" s="147" t="s">
        <v>3</v>
      </c>
      <c r="I15" s="148"/>
      <c r="J15" s="147" t="s">
        <v>242</v>
      </c>
      <c r="K15" s="148"/>
      <c r="L15" s="147" t="s">
        <v>234</v>
      </c>
      <c r="M15" s="148"/>
      <c r="N15" s="147" t="s">
        <v>5</v>
      </c>
      <c r="O15" s="148"/>
      <c r="P15" s="147" t="s">
        <v>4</v>
      </c>
      <c r="Q15" s="148"/>
      <c r="R15" s="147" t="s">
        <v>6</v>
      </c>
      <c r="S15" s="148"/>
      <c r="T15" s="147" t="s">
        <v>254</v>
      </c>
      <c r="U15" s="148"/>
      <c r="V15" s="147" t="s">
        <v>7</v>
      </c>
      <c r="W15" s="148"/>
      <c r="X15" s="147" t="s">
        <v>8</v>
      </c>
      <c r="Y15" s="148"/>
      <c r="Z15" s="147" t="s">
        <v>9</v>
      </c>
      <c r="AA15" s="148"/>
      <c r="AB15" s="147" t="s">
        <v>241</v>
      </c>
      <c r="AC15" s="148"/>
      <c r="AD15" s="147" t="s">
        <v>10</v>
      </c>
      <c r="AE15" s="148"/>
      <c r="AF15" s="147" t="s">
        <v>11</v>
      </c>
      <c r="AG15" s="148"/>
      <c r="AH15" s="147" t="s">
        <v>235</v>
      </c>
      <c r="AI15" s="148"/>
      <c r="AJ15" s="147" t="s">
        <v>253</v>
      </c>
      <c r="AK15" s="148"/>
      <c r="AL15" s="147" t="s">
        <v>12</v>
      </c>
      <c r="AM15" s="148"/>
      <c r="AN15" s="147" t="s">
        <v>236</v>
      </c>
      <c r="AO15" s="148"/>
      <c r="AP15" s="147" t="s">
        <v>237</v>
      </c>
      <c r="AQ15" s="148"/>
      <c r="AR15" s="147" t="s">
        <v>240</v>
      </c>
      <c r="AS15" s="148"/>
      <c r="AT15" s="147" t="s">
        <v>13</v>
      </c>
      <c r="AU15" s="148"/>
      <c r="AV15" s="147" t="s">
        <v>14</v>
      </c>
      <c r="AW15" s="148"/>
      <c r="AX15" s="147" t="s">
        <v>15</v>
      </c>
      <c r="AY15" s="148"/>
      <c r="AZ15" s="147" t="s">
        <v>16</v>
      </c>
      <c r="BA15" s="148"/>
      <c r="BB15" s="147" t="s">
        <v>17</v>
      </c>
      <c r="BC15" s="148"/>
      <c r="BD15" s="147" t="s">
        <v>238</v>
      </c>
      <c r="BE15" s="148"/>
      <c r="BF15" s="147" t="s">
        <v>239</v>
      </c>
      <c r="BG15" s="148"/>
      <c r="BH15" s="147" t="s">
        <v>18</v>
      </c>
      <c r="BI15" s="148"/>
      <c r="BJ15" s="147" t="s">
        <v>19</v>
      </c>
      <c r="BK15" s="148"/>
      <c r="BL15" s="149" t="s">
        <v>20</v>
      </c>
      <c r="BM15" s="150"/>
    </row>
    <row r="16" spans="1:65" ht="30" x14ac:dyDescent="0.25">
      <c r="A16" s="1"/>
      <c r="B16" s="53" t="s">
        <v>243</v>
      </c>
      <c r="C16" s="54" t="s">
        <v>244</v>
      </c>
      <c r="D16" s="53" t="s">
        <v>243</v>
      </c>
      <c r="E16" s="54" t="s">
        <v>244</v>
      </c>
      <c r="F16" s="53" t="s">
        <v>243</v>
      </c>
      <c r="G16" s="54" t="s">
        <v>244</v>
      </c>
      <c r="H16" s="53" t="s">
        <v>243</v>
      </c>
      <c r="I16" s="54" t="s">
        <v>244</v>
      </c>
      <c r="J16" s="53" t="s">
        <v>243</v>
      </c>
      <c r="K16" s="54" t="s">
        <v>244</v>
      </c>
      <c r="L16" s="53" t="s">
        <v>243</v>
      </c>
      <c r="M16" s="54" t="s">
        <v>244</v>
      </c>
      <c r="N16" s="53" t="s">
        <v>243</v>
      </c>
      <c r="O16" s="54" t="s">
        <v>244</v>
      </c>
      <c r="P16" s="53" t="s">
        <v>243</v>
      </c>
      <c r="Q16" s="54" t="s">
        <v>244</v>
      </c>
      <c r="R16" s="53" t="s">
        <v>243</v>
      </c>
      <c r="S16" s="54" t="s">
        <v>244</v>
      </c>
      <c r="T16" s="53" t="s">
        <v>243</v>
      </c>
      <c r="U16" s="54" t="s">
        <v>244</v>
      </c>
      <c r="V16" s="53" t="s">
        <v>243</v>
      </c>
      <c r="W16" s="54" t="s">
        <v>244</v>
      </c>
      <c r="X16" s="53" t="s">
        <v>243</v>
      </c>
      <c r="Y16" s="54" t="s">
        <v>244</v>
      </c>
      <c r="Z16" s="53" t="s">
        <v>243</v>
      </c>
      <c r="AA16" s="54" t="s">
        <v>244</v>
      </c>
      <c r="AB16" s="53" t="s">
        <v>243</v>
      </c>
      <c r="AC16" s="54" t="s">
        <v>244</v>
      </c>
      <c r="AD16" s="53" t="s">
        <v>243</v>
      </c>
      <c r="AE16" s="54" t="s">
        <v>244</v>
      </c>
      <c r="AF16" s="53" t="s">
        <v>243</v>
      </c>
      <c r="AG16" s="54" t="s">
        <v>244</v>
      </c>
      <c r="AH16" s="53" t="s">
        <v>243</v>
      </c>
      <c r="AI16" s="54" t="s">
        <v>244</v>
      </c>
      <c r="AJ16" s="53" t="s">
        <v>243</v>
      </c>
      <c r="AK16" s="54" t="s">
        <v>244</v>
      </c>
      <c r="AL16" s="53" t="s">
        <v>243</v>
      </c>
      <c r="AM16" s="54" t="s">
        <v>244</v>
      </c>
      <c r="AN16" s="53" t="s">
        <v>243</v>
      </c>
      <c r="AO16" s="54" t="s">
        <v>244</v>
      </c>
      <c r="AP16" s="53" t="s">
        <v>243</v>
      </c>
      <c r="AQ16" s="54" t="s">
        <v>244</v>
      </c>
      <c r="AR16" s="53" t="s">
        <v>243</v>
      </c>
      <c r="AS16" s="54" t="s">
        <v>244</v>
      </c>
      <c r="AT16" s="53" t="s">
        <v>243</v>
      </c>
      <c r="AU16" s="54" t="s">
        <v>244</v>
      </c>
      <c r="AV16" s="53" t="s">
        <v>243</v>
      </c>
      <c r="AW16" s="54" t="s">
        <v>244</v>
      </c>
      <c r="AX16" s="53" t="s">
        <v>243</v>
      </c>
      <c r="AY16" s="54" t="s">
        <v>244</v>
      </c>
      <c r="AZ16" s="53" t="s">
        <v>243</v>
      </c>
      <c r="BA16" s="54" t="s">
        <v>244</v>
      </c>
      <c r="BB16" s="53" t="s">
        <v>243</v>
      </c>
      <c r="BC16" s="54" t="s">
        <v>244</v>
      </c>
      <c r="BD16" s="53" t="s">
        <v>243</v>
      </c>
      <c r="BE16" s="54" t="s">
        <v>244</v>
      </c>
      <c r="BF16" s="53" t="s">
        <v>243</v>
      </c>
      <c r="BG16" s="54" t="s">
        <v>244</v>
      </c>
      <c r="BH16" s="53" t="s">
        <v>243</v>
      </c>
      <c r="BI16" s="54" t="s">
        <v>244</v>
      </c>
      <c r="BJ16" s="53" t="s">
        <v>243</v>
      </c>
      <c r="BK16" s="54" t="s">
        <v>244</v>
      </c>
      <c r="BL16" s="105" t="s">
        <v>243</v>
      </c>
      <c r="BM16" s="106" t="s">
        <v>244</v>
      </c>
    </row>
    <row r="17" spans="1:65" x14ac:dyDescent="0.25">
      <c r="A17" s="92" t="s">
        <v>291</v>
      </c>
      <c r="B17" s="76"/>
      <c r="C17" s="76"/>
      <c r="D17" s="76"/>
      <c r="E17" s="76"/>
      <c r="F17" s="76"/>
      <c r="G17" s="76"/>
      <c r="H17" s="92">
        <v>5184</v>
      </c>
      <c r="I17" s="92">
        <v>11680</v>
      </c>
      <c r="J17" s="76"/>
      <c r="K17" s="76"/>
      <c r="L17" s="92">
        <v>2542</v>
      </c>
      <c r="M17" s="92">
        <v>4849</v>
      </c>
      <c r="N17" s="76"/>
      <c r="O17" s="76"/>
      <c r="P17" s="92">
        <v>35.159999999999997</v>
      </c>
      <c r="Q17" s="92">
        <v>80.48</v>
      </c>
      <c r="R17" s="92">
        <v>1903.71</v>
      </c>
      <c r="S17" s="92">
        <v>4444.47</v>
      </c>
      <c r="T17" s="92">
        <v>65</v>
      </c>
      <c r="U17" s="92">
        <v>1018</v>
      </c>
      <c r="V17" s="92">
        <v>3760</v>
      </c>
      <c r="W17" s="92">
        <v>9525</v>
      </c>
      <c r="X17" s="92">
        <v>12600</v>
      </c>
      <c r="Y17" s="92">
        <v>32259</v>
      </c>
      <c r="Z17" s="92">
        <v>6240</v>
      </c>
      <c r="AA17" s="92">
        <v>12727</v>
      </c>
      <c r="AB17" s="92">
        <v>62</v>
      </c>
      <c r="AC17" s="92">
        <v>72</v>
      </c>
      <c r="AD17" s="92">
        <v>860.4</v>
      </c>
      <c r="AE17" s="92">
        <v>2033.82</v>
      </c>
      <c r="AF17" s="92">
        <v>516.65</v>
      </c>
      <c r="AG17" s="92">
        <v>1022.5</v>
      </c>
      <c r="AH17" s="76"/>
      <c r="AI17" s="76"/>
      <c r="AJ17" s="76"/>
      <c r="AK17" s="76"/>
      <c r="AL17" s="92">
        <v>4936.5600000000004</v>
      </c>
      <c r="AM17" s="92">
        <v>11055.38</v>
      </c>
      <c r="AN17" s="76"/>
      <c r="AO17" s="76"/>
      <c r="AP17" s="92">
        <v>1</v>
      </c>
      <c r="AQ17" s="92">
        <v>1</v>
      </c>
      <c r="AR17" s="92">
        <v>2046</v>
      </c>
      <c r="AS17" s="76">
        <v>5840</v>
      </c>
      <c r="AT17" s="92">
        <v>884.67</v>
      </c>
      <c r="AU17" s="92">
        <v>2416.14</v>
      </c>
      <c r="AV17" s="92">
        <v>1413</v>
      </c>
      <c r="AW17" s="92">
        <v>3147</v>
      </c>
      <c r="AX17" s="92">
        <v>42</v>
      </c>
      <c r="AY17" s="92">
        <v>82</v>
      </c>
      <c r="AZ17" s="76"/>
      <c r="BA17" s="76"/>
      <c r="BB17" s="92">
        <v>11607</v>
      </c>
      <c r="BC17" s="92">
        <v>25070</v>
      </c>
      <c r="BD17" s="92">
        <v>20192.740000000002</v>
      </c>
      <c r="BE17" s="92">
        <v>43430.27</v>
      </c>
      <c r="BF17" s="92">
        <v>9768</v>
      </c>
      <c r="BG17" s="92">
        <v>21347</v>
      </c>
      <c r="BH17" s="92">
        <v>7481</v>
      </c>
      <c r="BI17" s="92">
        <v>17439</v>
      </c>
      <c r="BJ17" s="92">
        <v>977</v>
      </c>
      <c r="BK17" s="92">
        <v>2281</v>
      </c>
      <c r="BL17" s="68">
        <f t="shared" ref="BL17:BL23" si="2">SUM(B17+D17+F17+H17+J17+L17+N17+P17+R17+T17+V17+X17+Z17+AB17+AD17+AF17+AH17+AJ17+AL17+AN17+AP17+AR17+AT17+AV17+AX17+AZ17+BB17+BD17+BF17+BH17+BJ17)</f>
        <v>93117.89</v>
      </c>
      <c r="BM17" s="68">
        <f t="shared" ref="BM17:BM23" si="3">SUM(C17+E17+G17+I17+K17+M17+O17+Q17+S17+U17+W17+Y17+AA17+AC17+AE17+AG17+AI17+AK17+AM17+AO17+AQ17+AS17+AU17+AW17+AY17+BA17+BC17+BE17+BG17+BI17+BK17)</f>
        <v>211820.06</v>
      </c>
    </row>
    <row r="18" spans="1:65" x14ac:dyDescent="0.25">
      <c r="A18" s="92" t="s">
        <v>292</v>
      </c>
      <c r="B18" s="76"/>
      <c r="C18" s="76"/>
      <c r="D18" s="76"/>
      <c r="E18" s="76"/>
      <c r="F18" s="76"/>
      <c r="G18" s="76"/>
      <c r="H18" s="92"/>
      <c r="I18" s="92"/>
      <c r="J18" s="76"/>
      <c r="K18" s="76"/>
      <c r="L18" s="92"/>
      <c r="M18" s="92"/>
      <c r="N18" s="76"/>
      <c r="O18" s="76"/>
      <c r="P18" s="92"/>
      <c r="Q18" s="92"/>
      <c r="R18" s="92">
        <v>39.020000000000003</v>
      </c>
      <c r="S18" s="92">
        <v>74.41</v>
      </c>
      <c r="T18" s="92">
        <v>87</v>
      </c>
      <c r="U18" s="92">
        <v>116</v>
      </c>
      <c r="V18" s="92">
        <v>412</v>
      </c>
      <c r="W18" s="92">
        <v>699</v>
      </c>
      <c r="X18" s="92">
        <v>484</v>
      </c>
      <c r="Y18" s="92">
        <v>1061</v>
      </c>
      <c r="Z18" s="92">
        <v>52</v>
      </c>
      <c r="AA18" s="92">
        <v>100</v>
      </c>
      <c r="AB18" s="92"/>
      <c r="AC18" s="92"/>
      <c r="AD18" s="76"/>
      <c r="AE18" s="92">
        <v>13.49</v>
      </c>
      <c r="AF18" s="92">
        <v>4.49</v>
      </c>
      <c r="AG18" s="92">
        <v>77.97</v>
      </c>
      <c r="AH18" s="76"/>
      <c r="AI18" s="76"/>
      <c r="AJ18" s="76"/>
      <c r="AK18" s="76"/>
      <c r="AL18" s="92">
        <v>357.3</v>
      </c>
      <c r="AM18" s="92">
        <v>392.9</v>
      </c>
      <c r="AN18" s="76"/>
      <c r="AO18" s="76"/>
      <c r="AP18" s="92"/>
      <c r="AQ18" s="92"/>
      <c r="AR18" s="92">
        <v>41</v>
      </c>
      <c r="AS18" s="76">
        <v>41</v>
      </c>
      <c r="AT18" s="92">
        <v>3.76</v>
      </c>
      <c r="AU18" s="92">
        <v>-11.32</v>
      </c>
      <c r="AV18" s="92">
        <v>239</v>
      </c>
      <c r="AW18" s="92">
        <v>351</v>
      </c>
      <c r="AX18" s="92"/>
      <c r="AY18" s="92"/>
      <c r="AZ18" s="76"/>
      <c r="BA18" s="76"/>
      <c r="BB18" s="92">
        <v>214</v>
      </c>
      <c r="BC18" s="92">
        <v>2286</v>
      </c>
      <c r="BD18" s="92">
        <v>721.23</v>
      </c>
      <c r="BE18" s="92">
        <v>1109.1099999999999</v>
      </c>
      <c r="BF18" s="92">
        <v>184</v>
      </c>
      <c r="BG18" s="92">
        <v>317</v>
      </c>
      <c r="BH18" s="92">
        <v>258</v>
      </c>
      <c r="BI18" s="92">
        <v>296</v>
      </c>
      <c r="BJ18" s="92"/>
      <c r="BK18" s="92"/>
      <c r="BL18" s="68">
        <f t="shared" si="2"/>
        <v>3096.8</v>
      </c>
      <c r="BM18" s="68">
        <f t="shared" si="3"/>
        <v>6923.5599999999986</v>
      </c>
    </row>
    <row r="19" spans="1:65" x14ac:dyDescent="0.25">
      <c r="A19" s="92" t="s">
        <v>293</v>
      </c>
      <c r="B19" s="76"/>
      <c r="C19" s="76"/>
      <c r="D19" s="76"/>
      <c r="E19" s="76"/>
      <c r="F19" s="76"/>
      <c r="G19" s="76"/>
      <c r="H19" s="92">
        <v>-2643</v>
      </c>
      <c r="I19" s="92">
        <v>-5048</v>
      </c>
      <c r="J19" s="76"/>
      <c r="K19" s="76"/>
      <c r="L19" s="92">
        <v>1696</v>
      </c>
      <c r="M19" s="92">
        <v>2995</v>
      </c>
      <c r="N19" s="76"/>
      <c r="O19" s="76"/>
      <c r="P19" s="92">
        <v>30.84</v>
      </c>
      <c r="Q19" s="92">
        <v>73.77</v>
      </c>
      <c r="R19" s="92">
        <v>283.8</v>
      </c>
      <c r="S19" s="92">
        <v>802.28</v>
      </c>
      <c r="T19" s="92">
        <v>175</v>
      </c>
      <c r="U19" s="92">
        <v>1081</v>
      </c>
      <c r="V19" s="92">
        <v>-1335</v>
      </c>
      <c r="W19" s="92">
        <v>-3324</v>
      </c>
      <c r="X19" s="92">
        <v>5086</v>
      </c>
      <c r="Y19" s="92">
        <v>11822</v>
      </c>
      <c r="Z19" s="92">
        <v>3083</v>
      </c>
      <c r="AA19" s="92">
        <v>6350</v>
      </c>
      <c r="AB19" s="92">
        <v>52</v>
      </c>
      <c r="AC19" s="92">
        <v>61</v>
      </c>
      <c r="AD19" s="92">
        <v>42.61</v>
      </c>
      <c r="AE19" s="92">
        <v>420.17</v>
      </c>
      <c r="AF19" s="92">
        <v>-478.51</v>
      </c>
      <c r="AG19" s="92">
        <v>-1036.6099999999999</v>
      </c>
      <c r="AH19" s="76"/>
      <c r="AI19" s="76"/>
      <c r="AJ19" s="76"/>
      <c r="AK19" s="76"/>
      <c r="AL19" s="92">
        <v>1910.2</v>
      </c>
      <c r="AM19" s="92">
        <v>4799.55</v>
      </c>
      <c r="AN19" s="76"/>
      <c r="AO19" s="76"/>
      <c r="AP19" s="92">
        <v>0</v>
      </c>
      <c r="AQ19" s="92">
        <v>0</v>
      </c>
      <c r="AR19" s="92">
        <v>1662</v>
      </c>
      <c r="AS19" s="76">
        <v>4693</v>
      </c>
      <c r="AT19" s="92">
        <v>-342.64</v>
      </c>
      <c r="AU19" s="92">
        <v>-1130.81</v>
      </c>
      <c r="AV19" s="92">
        <v>421</v>
      </c>
      <c r="AW19" s="92">
        <v>823</v>
      </c>
      <c r="AX19" s="92">
        <v>33</v>
      </c>
      <c r="AY19" s="92">
        <v>61</v>
      </c>
      <c r="AZ19" s="76"/>
      <c r="BA19" s="76"/>
      <c r="BB19" s="92">
        <v>2122</v>
      </c>
      <c r="BC19" s="92">
        <v>4840</v>
      </c>
      <c r="BD19" s="92">
        <v>7975.46</v>
      </c>
      <c r="BE19" s="92">
        <v>21089.39</v>
      </c>
      <c r="BF19" s="92">
        <v>3864</v>
      </c>
      <c r="BG19" s="92">
        <v>9579</v>
      </c>
      <c r="BH19" s="92">
        <v>2280</v>
      </c>
      <c r="BI19" s="92">
        <v>7137</v>
      </c>
      <c r="BJ19" s="92">
        <v>871</v>
      </c>
      <c r="BK19" s="92">
        <v>2003</v>
      </c>
      <c r="BL19" s="68">
        <f t="shared" si="2"/>
        <v>26788.76</v>
      </c>
      <c r="BM19" s="68">
        <f t="shared" si="3"/>
        <v>68090.739999999991</v>
      </c>
    </row>
    <row r="20" spans="1:65" s="7" customFormat="1" x14ac:dyDescent="0.25">
      <c r="A20" s="10" t="s">
        <v>294</v>
      </c>
      <c r="B20" s="10"/>
      <c r="C20" s="10"/>
      <c r="D20" s="10"/>
      <c r="E20" s="10"/>
      <c r="F20" s="10"/>
      <c r="G20" s="10"/>
      <c r="H20" s="10">
        <v>2541</v>
      </c>
      <c r="I20" s="10">
        <v>6632</v>
      </c>
      <c r="J20" s="10"/>
      <c r="K20" s="10"/>
      <c r="L20" s="10">
        <v>846</v>
      </c>
      <c r="M20" s="10">
        <v>1854</v>
      </c>
      <c r="N20" s="10"/>
      <c r="O20" s="10"/>
      <c r="P20" s="10">
        <v>4.32</v>
      </c>
      <c r="Q20" s="10">
        <v>6.71</v>
      </c>
      <c r="R20" s="10">
        <v>1658.93</v>
      </c>
      <c r="S20" s="10">
        <v>3716.6</v>
      </c>
      <c r="T20" s="10">
        <v>-22</v>
      </c>
      <c r="U20" s="10">
        <v>53</v>
      </c>
      <c r="V20" s="10">
        <v>2838</v>
      </c>
      <c r="W20" s="10">
        <v>6900</v>
      </c>
      <c r="X20" s="10">
        <v>7998</v>
      </c>
      <c r="Y20" s="10">
        <v>21498</v>
      </c>
      <c r="Z20" s="10">
        <v>3209</v>
      </c>
      <c r="AA20" s="10">
        <v>6477</v>
      </c>
      <c r="AB20" s="10">
        <v>9</v>
      </c>
      <c r="AC20" s="10">
        <v>11</v>
      </c>
      <c r="AD20" s="10">
        <v>817.79</v>
      </c>
      <c r="AE20" s="10">
        <v>1627.14</v>
      </c>
      <c r="AF20" s="10">
        <v>42.63</v>
      </c>
      <c r="AG20" s="10">
        <v>63.86</v>
      </c>
      <c r="AH20" s="10"/>
      <c r="AI20" s="10"/>
      <c r="AJ20" s="10"/>
      <c r="AK20" s="10"/>
      <c r="AL20" s="10">
        <v>3383.66</v>
      </c>
      <c r="AM20" s="10">
        <v>6648.73</v>
      </c>
      <c r="AN20" s="10"/>
      <c r="AO20" s="10"/>
      <c r="AP20" s="10">
        <v>1</v>
      </c>
      <c r="AQ20" s="10">
        <v>1</v>
      </c>
      <c r="AR20" s="10">
        <v>425</v>
      </c>
      <c r="AS20" s="10">
        <v>1188</v>
      </c>
      <c r="AT20" s="10"/>
      <c r="AU20" s="10"/>
      <c r="AV20" s="10">
        <v>1231</v>
      </c>
      <c r="AW20" s="10">
        <v>2675</v>
      </c>
      <c r="AX20" s="10">
        <v>8</v>
      </c>
      <c r="AY20" s="10">
        <v>21</v>
      </c>
      <c r="AZ20" s="10"/>
      <c r="BA20" s="10"/>
      <c r="BB20" s="10">
        <v>9699</v>
      </c>
      <c r="BC20" s="10">
        <v>22515</v>
      </c>
      <c r="BD20" s="10">
        <v>12938.51</v>
      </c>
      <c r="BE20" s="10">
        <v>23449.99</v>
      </c>
      <c r="BF20" s="10">
        <v>6088</v>
      </c>
      <c r="BG20" s="10">
        <v>12085</v>
      </c>
      <c r="BH20" s="10">
        <v>5459</v>
      </c>
      <c r="BI20" s="10">
        <v>10599</v>
      </c>
      <c r="BJ20" s="10">
        <v>106</v>
      </c>
      <c r="BK20" s="10">
        <v>278</v>
      </c>
      <c r="BL20" s="63">
        <f t="shared" si="2"/>
        <v>59281.840000000004</v>
      </c>
      <c r="BM20" s="63">
        <f t="shared" si="3"/>
        <v>128300.03</v>
      </c>
    </row>
    <row r="21" spans="1:65" x14ac:dyDescent="0.25">
      <c r="A21" s="92" t="s">
        <v>295</v>
      </c>
      <c r="B21" s="92"/>
      <c r="C21" s="92"/>
      <c r="D21" s="92"/>
      <c r="E21" s="92"/>
      <c r="F21" s="92"/>
      <c r="G21" s="92"/>
      <c r="H21" s="92">
        <v>4423</v>
      </c>
      <c r="I21" s="92">
        <v>3029</v>
      </c>
      <c r="J21" s="92"/>
      <c r="K21" s="92"/>
      <c r="L21" s="92"/>
      <c r="M21" s="92">
        <v>1171</v>
      </c>
      <c r="N21" s="92"/>
      <c r="O21" s="92"/>
      <c r="P21" s="92">
        <v>12.19</v>
      </c>
      <c r="Q21" s="92">
        <v>21.61</v>
      </c>
      <c r="R21" s="92">
        <v>2246.7199999999998</v>
      </c>
      <c r="S21" s="92">
        <v>1682.61</v>
      </c>
      <c r="T21" s="92">
        <v>70</v>
      </c>
      <c r="U21" s="92">
        <v>38</v>
      </c>
      <c r="V21" s="92">
        <v>4485</v>
      </c>
      <c r="W21" s="92">
        <v>3246</v>
      </c>
      <c r="X21" s="92">
        <v>12412</v>
      </c>
      <c r="Y21" s="92">
        <v>6572</v>
      </c>
      <c r="Z21" s="92"/>
      <c r="AA21" s="92">
        <v>2967</v>
      </c>
      <c r="AB21" s="92">
        <v>3</v>
      </c>
      <c r="AC21" s="92">
        <v>2</v>
      </c>
      <c r="AD21" s="92"/>
      <c r="AE21" s="92"/>
      <c r="AF21" s="92">
        <v>32.94</v>
      </c>
      <c r="AG21" s="92">
        <v>33.840000000000003</v>
      </c>
      <c r="AH21" s="92"/>
      <c r="AI21" s="92"/>
      <c r="AJ21" s="92"/>
      <c r="AK21" s="92"/>
      <c r="AL21" s="92">
        <v>7645.15</v>
      </c>
      <c r="AM21" s="92">
        <v>7792.75</v>
      </c>
      <c r="AN21" s="92"/>
      <c r="AO21" s="92"/>
      <c r="AP21" s="92">
        <v>0</v>
      </c>
      <c r="AQ21" s="92">
        <v>1</v>
      </c>
      <c r="AR21" s="92">
        <v>685</v>
      </c>
      <c r="AS21" s="92">
        <v>336</v>
      </c>
      <c r="AT21" s="92"/>
      <c r="AU21" s="92"/>
      <c r="AV21" s="92">
        <v>1927</v>
      </c>
      <c r="AW21" s="92">
        <v>1331</v>
      </c>
      <c r="AX21" s="92">
        <v>28</v>
      </c>
      <c r="AY21" s="92">
        <v>37</v>
      </c>
      <c r="AZ21" s="92"/>
      <c r="BA21" s="92"/>
      <c r="BB21" s="92">
        <v>15716</v>
      </c>
      <c r="BC21" s="92">
        <v>12422</v>
      </c>
      <c r="BD21" s="92"/>
      <c r="BE21" s="92"/>
      <c r="BF21" s="92">
        <v>0</v>
      </c>
      <c r="BG21" s="92">
        <v>0</v>
      </c>
      <c r="BH21" s="92">
        <v>12741</v>
      </c>
      <c r="BI21" s="92">
        <v>12846</v>
      </c>
      <c r="BJ21" s="92">
        <v>251</v>
      </c>
      <c r="BK21" s="92">
        <v>202</v>
      </c>
      <c r="BL21" s="68">
        <f t="shared" si="2"/>
        <v>62678</v>
      </c>
      <c r="BM21" s="68">
        <f t="shared" si="3"/>
        <v>53730.81</v>
      </c>
    </row>
    <row r="22" spans="1:65" x14ac:dyDescent="0.25">
      <c r="A22" s="2" t="s">
        <v>296</v>
      </c>
      <c r="B22" s="92"/>
      <c r="C22" s="92"/>
      <c r="D22" s="92"/>
      <c r="E22" s="92"/>
      <c r="F22" s="92"/>
      <c r="G22" s="92"/>
      <c r="H22" s="92">
        <v>4352</v>
      </c>
      <c r="I22" s="92">
        <v>4352</v>
      </c>
      <c r="J22" s="92"/>
      <c r="K22" s="92"/>
      <c r="L22" s="92">
        <v>-19</v>
      </c>
      <c r="M22" s="92">
        <v>1315</v>
      </c>
      <c r="N22" s="92"/>
      <c r="O22" s="92"/>
      <c r="P22" s="92">
        <v>3.96</v>
      </c>
      <c r="Q22" s="92">
        <v>3.96</v>
      </c>
      <c r="R22" s="92">
        <v>2306.25</v>
      </c>
      <c r="S22" s="92">
        <v>2306.25</v>
      </c>
      <c r="T22" s="92">
        <v>44</v>
      </c>
      <c r="U22" s="92">
        <v>44</v>
      </c>
      <c r="V22" s="92">
        <v>-4380</v>
      </c>
      <c r="W22" s="92">
        <v>-4380</v>
      </c>
      <c r="X22" s="92">
        <v>11735</v>
      </c>
      <c r="Y22" s="92">
        <v>11735</v>
      </c>
      <c r="Z22" s="92">
        <v>599</v>
      </c>
      <c r="AA22" s="92">
        <v>4602</v>
      </c>
      <c r="AB22" s="92">
        <v>11</v>
      </c>
      <c r="AC22" s="92">
        <v>11</v>
      </c>
      <c r="AD22" s="92"/>
      <c r="AE22" s="92"/>
      <c r="AF22" s="92">
        <v>-35.450000000000003</v>
      </c>
      <c r="AG22" s="92">
        <v>-35.450000000000003</v>
      </c>
      <c r="AH22" s="92"/>
      <c r="AI22" s="92"/>
      <c r="AJ22" s="92"/>
      <c r="AK22" s="92"/>
      <c r="AL22" s="92">
        <v>10260.77</v>
      </c>
      <c r="AM22" s="92">
        <v>10260.77</v>
      </c>
      <c r="AN22" s="92"/>
      <c r="AO22" s="92"/>
      <c r="AP22" s="92">
        <v>1</v>
      </c>
      <c r="AQ22" s="92">
        <v>1</v>
      </c>
      <c r="AR22" s="92">
        <v>717</v>
      </c>
      <c r="AS22" s="92">
        <v>717</v>
      </c>
      <c r="AT22" s="92"/>
      <c r="AU22" s="92"/>
      <c r="AV22" s="92">
        <v>2006</v>
      </c>
      <c r="AW22" s="92">
        <v>2006</v>
      </c>
      <c r="AX22" s="92">
        <v>20</v>
      </c>
      <c r="AY22" s="92">
        <v>20</v>
      </c>
      <c r="AZ22" s="92"/>
      <c r="BA22" s="92"/>
      <c r="BB22" s="92">
        <v>15930</v>
      </c>
      <c r="BC22" s="92">
        <v>15930</v>
      </c>
      <c r="BD22" s="92"/>
      <c r="BE22" s="92"/>
      <c r="BF22" s="92">
        <v>756</v>
      </c>
      <c r="BG22" s="92">
        <v>1257</v>
      </c>
      <c r="BH22" s="92">
        <v>13575</v>
      </c>
      <c r="BI22" s="92">
        <v>13575</v>
      </c>
      <c r="BJ22" s="92">
        <v>-234</v>
      </c>
      <c r="BK22" s="92">
        <v>-234</v>
      </c>
      <c r="BL22" s="68">
        <f t="shared" si="2"/>
        <v>57648.53</v>
      </c>
      <c r="BM22" s="68">
        <f t="shared" si="3"/>
        <v>63486.53</v>
      </c>
    </row>
    <row r="23" spans="1:65" s="7" customFormat="1" x14ac:dyDescent="0.25">
      <c r="A23" s="10" t="s">
        <v>192</v>
      </c>
      <c r="B23" s="10"/>
      <c r="C23" s="10"/>
      <c r="D23" s="10"/>
      <c r="E23" s="10"/>
      <c r="F23" s="10"/>
      <c r="G23" s="10"/>
      <c r="H23" s="10">
        <v>2612</v>
      </c>
      <c r="I23" s="10">
        <v>5309</v>
      </c>
      <c r="J23" s="10"/>
      <c r="K23" s="10"/>
      <c r="L23" s="10">
        <v>865</v>
      </c>
      <c r="M23" s="10">
        <v>1710</v>
      </c>
      <c r="N23" s="10"/>
      <c r="O23" s="10"/>
      <c r="P23" s="10">
        <v>12.55</v>
      </c>
      <c r="Q23" s="10">
        <v>24.36</v>
      </c>
      <c r="R23" s="10">
        <v>1599.41</v>
      </c>
      <c r="S23" s="10">
        <v>3092.97</v>
      </c>
      <c r="T23" s="10">
        <v>3</v>
      </c>
      <c r="U23" s="10">
        <v>46</v>
      </c>
      <c r="V23" s="10">
        <v>2943</v>
      </c>
      <c r="W23" s="10">
        <v>5767</v>
      </c>
      <c r="X23" s="10">
        <v>8675</v>
      </c>
      <c r="Y23" s="10">
        <v>17718</v>
      </c>
      <c r="Z23" s="10">
        <v>2609</v>
      </c>
      <c r="AA23" s="10">
        <v>4842</v>
      </c>
      <c r="AB23" s="10">
        <v>2</v>
      </c>
      <c r="AC23" s="10">
        <v>2</v>
      </c>
      <c r="AD23" s="10">
        <v>683.83</v>
      </c>
      <c r="AE23" s="10">
        <v>1396.58</v>
      </c>
      <c r="AF23" s="10">
        <v>40.119999999999997</v>
      </c>
      <c r="AG23" s="10">
        <v>62.25</v>
      </c>
      <c r="AH23" s="10"/>
      <c r="AI23" s="10"/>
      <c r="AJ23" s="10"/>
      <c r="AK23" s="10"/>
      <c r="AL23" s="10">
        <v>768.04</v>
      </c>
      <c r="AM23" s="10">
        <v>4180.71</v>
      </c>
      <c r="AN23" s="10"/>
      <c r="AO23" s="10"/>
      <c r="AP23" s="10">
        <v>0</v>
      </c>
      <c r="AQ23" s="10">
        <v>1</v>
      </c>
      <c r="AR23" s="10">
        <v>393</v>
      </c>
      <c r="AS23" s="10">
        <v>807</v>
      </c>
      <c r="AT23" s="10">
        <v>513.30999999999995</v>
      </c>
      <c r="AU23" s="10">
        <v>1108</v>
      </c>
      <c r="AV23" s="10">
        <v>1152</v>
      </c>
      <c r="AW23" s="10">
        <v>2000</v>
      </c>
      <c r="AX23" s="10">
        <v>16</v>
      </c>
      <c r="AY23" s="10">
        <v>38</v>
      </c>
      <c r="AZ23" s="10"/>
      <c r="BA23" s="10"/>
      <c r="BB23" s="10">
        <v>9485</v>
      </c>
      <c r="BC23" s="10">
        <v>19008</v>
      </c>
      <c r="BD23" s="10">
        <v>12066.06</v>
      </c>
      <c r="BE23" s="10">
        <v>23184.31</v>
      </c>
      <c r="BF23" s="10">
        <v>5332</v>
      </c>
      <c r="BG23" s="10">
        <v>10828</v>
      </c>
      <c r="BH23" s="10">
        <v>4626</v>
      </c>
      <c r="BI23" s="10">
        <v>9870</v>
      </c>
      <c r="BJ23" s="10">
        <v>123</v>
      </c>
      <c r="BK23" s="10">
        <v>245</v>
      </c>
      <c r="BL23" s="63">
        <f t="shared" si="2"/>
        <v>54519.32</v>
      </c>
      <c r="BM23" s="63">
        <f t="shared" si="3"/>
        <v>111240.18</v>
      </c>
    </row>
    <row r="25" spans="1:65" x14ac:dyDescent="0.25">
      <c r="A25" s="23" t="s">
        <v>184</v>
      </c>
    </row>
    <row r="26" spans="1:65" x14ac:dyDescent="0.25">
      <c r="A26" s="1" t="s">
        <v>0</v>
      </c>
      <c r="B26" s="147" t="s">
        <v>1</v>
      </c>
      <c r="C26" s="148"/>
      <c r="D26" s="147" t="s">
        <v>233</v>
      </c>
      <c r="E26" s="148"/>
      <c r="F26" s="147" t="s">
        <v>2</v>
      </c>
      <c r="G26" s="148"/>
      <c r="H26" s="147" t="s">
        <v>3</v>
      </c>
      <c r="I26" s="148"/>
      <c r="J26" s="147" t="s">
        <v>242</v>
      </c>
      <c r="K26" s="148"/>
      <c r="L26" s="147" t="s">
        <v>234</v>
      </c>
      <c r="M26" s="148"/>
      <c r="N26" s="147" t="s">
        <v>5</v>
      </c>
      <c r="O26" s="148"/>
      <c r="P26" s="147" t="s">
        <v>4</v>
      </c>
      <c r="Q26" s="148"/>
      <c r="R26" s="147" t="s">
        <v>6</v>
      </c>
      <c r="S26" s="148"/>
      <c r="T26" s="147" t="s">
        <v>254</v>
      </c>
      <c r="U26" s="148"/>
      <c r="V26" s="147" t="s">
        <v>7</v>
      </c>
      <c r="W26" s="148"/>
      <c r="X26" s="147" t="s">
        <v>8</v>
      </c>
      <c r="Y26" s="148"/>
      <c r="Z26" s="147" t="s">
        <v>9</v>
      </c>
      <c r="AA26" s="148"/>
      <c r="AB26" s="147" t="s">
        <v>241</v>
      </c>
      <c r="AC26" s="148"/>
      <c r="AD26" s="147" t="s">
        <v>10</v>
      </c>
      <c r="AE26" s="148"/>
      <c r="AF26" s="147" t="s">
        <v>11</v>
      </c>
      <c r="AG26" s="148"/>
      <c r="AH26" s="147" t="s">
        <v>235</v>
      </c>
      <c r="AI26" s="148"/>
      <c r="AJ26" s="147" t="s">
        <v>253</v>
      </c>
      <c r="AK26" s="148"/>
      <c r="AL26" s="147" t="s">
        <v>12</v>
      </c>
      <c r="AM26" s="148"/>
      <c r="AN26" s="147" t="s">
        <v>236</v>
      </c>
      <c r="AO26" s="148"/>
      <c r="AP26" s="147" t="s">
        <v>237</v>
      </c>
      <c r="AQ26" s="148"/>
      <c r="AR26" s="147" t="s">
        <v>240</v>
      </c>
      <c r="AS26" s="148"/>
      <c r="AT26" s="147" t="s">
        <v>13</v>
      </c>
      <c r="AU26" s="148"/>
      <c r="AV26" s="147" t="s">
        <v>14</v>
      </c>
      <c r="AW26" s="148"/>
      <c r="AX26" s="147" t="s">
        <v>15</v>
      </c>
      <c r="AY26" s="148"/>
      <c r="AZ26" s="147" t="s">
        <v>16</v>
      </c>
      <c r="BA26" s="148"/>
      <c r="BB26" s="147" t="s">
        <v>17</v>
      </c>
      <c r="BC26" s="148"/>
      <c r="BD26" s="147" t="s">
        <v>238</v>
      </c>
      <c r="BE26" s="148"/>
      <c r="BF26" s="147" t="s">
        <v>239</v>
      </c>
      <c r="BG26" s="148"/>
      <c r="BH26" s="147" t="s">
        <v>18</v>
      </c>
      <c r="BI26" s="148"/>
      <c r="BJ26" s="147" t="s">
        <v>19</v>
      </c>
      <c r="BK26" s="148"/>
      <c r="BL26" s="149" t="s">
        <v>20</v>
      </c>
      <c r="BM26" s="150"/>
    </row>
    <row r="27" spans="1:65" ht="30" x14ac:dyDescent="0.25">
      <c r="A27" s="1"/>
      <c r="B27" s="53" t="s">
        <v>243</v>
      </c>
      <c r="C27" s="54" t="s">
        <v>244</v>
      </c>
      <c r="D27" s="53" t="s">
        <v>243</v>
      </c>
      <c r="E27" s="54" t="s">
        <v>244</v>
      </c>
      <c r="F27" s="53" t="s">
        <v>243</v>
      </c>
      <c r="G27" s="54" t="s">
        <v>244</v>
      </c>
      <c r="H27" s="53" t="s">
        <v>243</v>
      </c>
      <c r="I27" s="54" t="s">
        <v>244</v>
      </c>
      <c r="J27" s="53" t="s">
        <v>243</v>
      </c>
      <c r="K27" s="54" t="s">
        <v>244</v>
      </c>
      <c r="L27" s="53" t="s">
        <v>243</v>
      </c>
      <c r="M27" s="54" t="s">
        <v>244</v>
      </c>
      <c r="N27" s="53" t="s">
        <v>243</v>
      </c>
      <c r="O27" s="54" t="s">
        <v>244</v>
      </c>
      <c r="P27" s="53" t="s">
        <v>243</v>
      </c>
      <c r="Q27" s="54" t="s">
        <v>244</v>
      </c>
      <c r="R27" s="53" t="s">
        <v>243</v>
      </c>
      <c r="S27" s="54" t="s">
        <v>244</v>
      </c>
      <c r="T27" s="53" t="s">
        <v>243</v>
      </c>
      <c r="U27" s="54" t="s">
        <v>244</v>
      </c>
      <c r="V27" s="53" t="s">
        <v>243</v>
      </c>
      <c r="W27" s="54" t="s">
        <v>244</v>
      </c>
      <c r="X27" s="53" t="s">
        <v>243</v>
      </c>
      <c r="Y27" s="54" t="s">
        <v>244</v>
      </c>
      <c r="Z27" s="53" t="s">
        <v>243</v>
      </c>
      <c r="AA27" s="54" t="s">
        <v>244</v>
      </c>
      <c r="AB27" s="53" t="s">
        <v>243</v>
      </c>
      <c r="AC27" s="54" t="s">
        <v>244</v>
      </c>
      <c r="AD27" s="53" t="s">
        <v>243</v>
      </c>
      <c r="AE27" s="54" t="s">
        <v>244</v>
      </c>
      <c r="AF27" s="53" t="s">
        <v>243</v>
      </c>
      <c r="AG27" s="54" t="s">
        <v>244</v>
      </c>
      <c r="AH27" s="53" t="s">
        <v>243</v>
      </c>
      <c r="AI27" s="54" t="s">
        <v>244</v>
      </c>
      <c r="AJ27" s="53" t="s">
        <v>243</v>
      </c>
      <c r="AK27" s="54" t="s">
        <v>244</v>
      </c>
      <c r="AL27" s="53" t="s">
        <v>243</v>
      </c>
      <c r="AM27" s="54" t="s">
        <v>244</v>
      </c>
      <c r="AN27" s="53" t="s">
        <v>243</v>
      </c>
      <c r="AO27" s="54" t="s">
        <v>244</v>
      </c>
      <c r="AP27" s="53" t="s">
        <v>243</v>
      </c>
      <c r="AQ27" s="54" t="s">
        <v>244</v>
      </c>
      <c r="AR27" s="53" t="s">
        <v>243</v>
      </c>
      <c r="AS27" s="54" t="s">
        <v>244</v>
      </c>
      <c r="AT27" s="53" t="s">
        <v>243</v>
      </c>
      <c r="AU27" s="54" t="s">
        <v>244</v>
      </c>
      <c r="AV27" s="53" t="s">
        <v>243</v>
      </c>
      <c r="AW27" s="54" t="s">
        <v>244</v>
      </c>
      <c r="AX27" s="53" t="s">
        <v>243</v>
      </c>
      <c r="AY27" s="54" t="s">
        <v>244</v>
      </c>
      <c r="AZ27" s="53" t="s">
        <v>243</v>
      </c>
      <c r="BA27" s="54" t="s">
        <v>244</v>
      </c>
      <c r="BB27" s="53" t="s">
        <v>243</v>
      </c>
      <c r="BC27" s="54" t="s">
        <v>244</v>
      </c>
      <c r="BD27" s="53" t="s">
        <v>243</v>
      </c>
      <c r="BE27" s="54" t="s">
        <v>244</v>
      </c>
      <c r="BF27" s="53" t="s">
        <v>243</v>
      </c>
      <c r="BG27" s="54" t="s">
        <v>244</v>
      </c>
      <c r="BH27" s="53" t="s">
        <v>243</v>
      </c>
      <c r="BI27" s="54" t="s">
        <v>244</v>
      </c>
      <c r="BJ27" s="53" t="s">
        <v>243</v>
      </c>
      <c r="BK27" s="54" t="s">
        <v>244</v>
      </c>
      <c r="BL27" s="105" t="s">
        <v>243</v>
      </c>
      <c r="BM27" s="106" t="s">
        <v>244</v>
      </c>
    </row>
    <row r="28" spans="1:65" x14ac:dyDescent="0.25">
      <c r="A28" s="92" t="s">
        <v>291</v>
      </c>
      <c r="B28" s="92">
        <v>12412</v>
      </c>
      <c r="C28" s="92">
        <v>20526</v>
      </c>
      <c r="D28" s="76"/>
      <c r="E28" s="76"/>
      <c r="F28" s="76"/>
      <c r="G28" s="76"/>
      <c r="H28" s="92">
        <v>120576</v>
      </c>
      <c r="I28" s="92">
        <v>207251</v>
      </c>
      <c r="J28" s="76"/>
      <c r="K28" s="76"/>
      <c r="L28" s="92">
        <v>86793</v>
      </c>
      <c r="M28" s="92">
        <v>146336</v>
      </c>
      <c r="N28" s="76"/>
      <c r="O28" s="76"/>
      <c r="P28" s="92">
        <v>4477.57</v>
      </c>
      <c r="Q28" s="92">
        <v>7488.03</v>
      </c>
      <c r="R28" s="92">
        <v>42013.14</v>
      </c>
      <c r="S28" s="92">
        <v>71498.759999999995</v>
      </c>
      <c r="T28" s="92">
        <v>62607</v>
      </c>
      <c r="U28" s="92">
        <v>104531</v>
      </c>
      <c r="V28" s="92">
        <v>89541</v>
      </c>
      <c r="W28" s="92">
        <v>152570</v>
      </c>
      <c r="X28" s="92">
        <v>184505</v>
      </c>
      <c r="Y28" s="92">
        <v>324581</v>
      </c>
      <c r="Z28" s="92">
        <v>91680</v>
      </c>
      <c r="AA28" s="92">
        <v>157181</v>
      </c>
      <c r="AB28" s="92">
        <v>7674</v>
      </c>
      <c r="AC28" s="92">
        <v>12972</v>
      </c>
      <c r="AD28" s="76">
        <v>24001</v>
      </c>
      <c r="AE28" s="76">
        <v>41008</v>
      </c>
      <c r="AF28" s="92">
        <v>31030.71</v>
      </c>
      <c r="AG28" s="92">
        <v>51719.57</v>
      </c>
      <c r="AH28" s="76"/>
      <c r="AI28" s="76"/>
      <c r="AJ28" s="76"/>
      <c r="AK28" s="76"/>
      <c r="AL28" s="92">
        <v>118398.05</v>
      </c>
      <c r="AM28" s="92">
        <v>213497.17</v>
      </c>
      <c r="AN28" s="92">
        <v>1239</v>
      </c>
      <c r="AO28" s="92">
        <v>1861</v>
      </c>
      <c r="AP28" s="92">
        <v>7020</v>
      </c>
      <c r="AQ28" s="92">
        <v>13404</v>
      </c>
      <c r="AR28" s="76">
        <v>96636</v>
      </c>
      <c r="AS28" s="76">
        <v>158320</v>
      </c>
      <c r="AT28" s="92">
        <v>51417.03</v>
      </c>
      <c r="AU28" s="92">
        <v>87675.51</v>
      </c>
      <c r="AV28" s="92">
        <v>58104</v>
      </c>
      <c r="AW28" s="92">
        <v>96016</v>
      </c>
      <c r="AX28" s="92">
        <v>40445</v>
      </c>
      <c r="AY28" s="92">
        <v>72516</v>
      </c>
      <c r="AZ28" s="76"/>
      <c r="BA28" s="76"/>
      <c r="BB28" s="92">
        <v>120643</v>
      </c>
      <c r="BC28" s="92">
        <v>208874</v>
      </c>
      <c r="BD28" s="92">
        <v>231339.05</v>
      </c>
      <c r="BE28" s="92">
        <v>418052.73</v>
      </c>
      <c r="BF28" s="92">
        <v>84595</v>
      </c>
      <c r="BG28" s="92">
        <v>151131</v>
      </c>
      <c r="BH28" s="92">
        <v>136618</v>
      </c>
      <c r="BI28" s="92">
        <v>240158</v>
      </c>
      <c r="BJ28" s="92">
        <v>27363</v>
      </c>
      <c r="BK28" s="92">
        <v>44200</v>
      </c>
      <c r="BL28" s="68">
        <f t="shared" ref="BL28:BL34" si="4">SUM(B28+D28+F28+H28+J28+L28+N28+P28+R28+T28+V28+X28+Z28+AB28+AD28+AF28+AH28+AJ28+AL28+AN28+AP28+AR28+AT28+AV28+AX28+AZ28+BB28+BD28+BF28+BH28+BJ28)</f>
        <v>1731127.55</v>
      </c>
      <c r="BM28" s="68">
        <f t="shared" ref="BM28:BM34" si="5">SUM(C28+E28+G28+I28+K28+M28+O28+Q28+S28+U28+W28+Y28+AA28+AC28+AE28+AG28+AI28+AK28+AM28+AO28+AQ28+AS28+AU28+AW28+AY28+BA28+BC28+BE28+BG28+BI28+BK28)</f>
        <v>3003367.77</v>
      </c>
    </row>
    <row r="29" spans="1:65" x14ac:dyDescent="0.25">
      <c r="A29" s="92" t="s">
        <v>292</v>
      </c>
      <c r="B29" s="92"/>
      <c r="C29" s="92"/>
      <c r="D29" s="76"/>
      <c r="E29" s="76"/>
      <c r="F29" s="76"/>
      <c r="G29" s="76"/>
      <c r="H29" s="92"/>
      <c r="I29" s="92"/>
      <c r="J29" s="76"/>
      <c r="K29" s="76"/>
      <c r="L29" s="92"/>
      <c r="M29" s="92"/>
      <c r="N29" s="76"/>
      <c r="O29" s="76"/>
      <c r="P29" s="92"/>
      <c r="Q29" s="92"/>
      <c r="R29" s="92"/>
      <c r="S29" s="92"/>
      <c r="T29" s="92">
        <v>13474</v>
      </c>
      <c r="U29" s="92">
        <v>20223</v>
      </c>
      <c r="V29" s="92"/>
      <c r="W29" s="92"/>
      <c r="X29" s="92">
        <v>393</v>
      </c>
      <c r="Y29" s="92">
        <v>-311</v>
      </c>
      <c r="Z29" s="92"/>
      <c r="AA29" s="92"/>
      <c r="AB29" s="92"/>
      <c r="AC29" s="92"/>
      <c r="AD29" s="76"/>
      <c r="AE29" s="76"/>
      <c r="AF29" s="92"/>
      <c r="AG29" s="92"/>
      <c r="AH29" s="76"/>
      <c r="AI29" s="76"/>
      <c r="AJ29" s="76"/>
      <c r="AK29" s="76"/>
      <c r="AL29" s="92">
        <v>54.73</v>
      </c>
      <c r="AM29" s="92">
        <v>61.88</v>
      </c>
      <c r="AN29" s="92"/>
      <c r="AO29" s="92"/>
      <c r="AP29" s="92"/>
      <c r="AQ29" s="92"/>
      <c r="AR29" s="76"/>
      <c r="AS29" s="76"/>
      <c r="AT29" s="76"/>
      <c r="AU29" s="76"/>
      <c r="AV29" s="92"/>
      <c r="AW29" s="92"/>
      <c r="AX29" s="92"/>
      <c r="AY29" s="92"/>
      <c r="AZ29" s="76"/>
      <c r="BA29" s="76"/>
      <c r="BB29" s="92">
        <v>944</v>
      </c>
      <c r="BC29" s="92">
        <v>944</v>
      </c>
      <c r="BD29" s="92">
        <v>211.7</v>
      </c>
      <c r="BE29" s="92">
        <v>424.06</v>
      </c>
      <c r="BF29" s="92">
        <v>130</v>
      </c>
      <c r="BG29" s="92">
        <v>172</v>
      </c>
      <c r="BH29" s="92">
        <v>0</v>
      </c>
      <c r="BI29" s="92">
        <v>0</v>
      </c>
      <c r="BJ29" s="92"/>
      <c r="BK29" s="92"/>
      <c r="BL29" s="68">
        <f t="shared" si="4"/>
        <v>15207.43</v>
      </c>
      <c r="BM29" s="68">
        <f t="shared" si="5"/>
        <v>21513.940000000002</v>
      </c>
    </row>
    <row r="30" spans="1:65" x14ac:dyDescent="0.25">
      <c r="A30" s="92" t="s">
        <v>293</v>
      </c>
      <c r="B30" s="92">
        <v>8116</v>
      </c>
      <c r="C30" s="92">
        <v>13439</v>
      </c>
      <c r="D30" s="76"/>
      <c r="E30" s="76"/>
      <c r="F30" s="76"/>
      <c r="G30" s="76"/>
      <c r="H30" s="92">
        <v>-11543</v>
      </c>
      <c r="I30" s="92">
        <v>-19450</v>
      </c>
      <c r="J30" s="76"/>
      <c r="K30" s="76"/>
      <c r="L30" s="92">
        <v>15417</v>
      </c>
      <c r="M30" s="92">
        <v>26112</v>
      </c>
      <c r="N30" s="76"/>
      <c r="O30" s="76"/>
      <c r="P30" s="92">
        <v>288.62</v>
      </c>
      <c r="Q30" s="92">
        <v>497.17</v>
      </c>
      <c r="R30" s="92">
        <v>2683.36</v>
      </c>
      <c r="S30" s="92">
        <v>4368.46</v>
      </c>
      <c r="T30" s="92">
        <v>3457</v>
      </c>
      <c r="U30" s="92">
        <v>6533</v>
      </c>
      <c r="V30" s="92">
        <v>-25180</v>
      </c>
      <c r="W30" s="92">
        <v>-41773</v>
      </c>
      <c r="X30" s="92">
        <v>10854</v>
      </c>
      <c r="Y30" s="92">
        <v>19162</v>
      </c>
      <c r="Z30" s="92">
        <v>9153</v>
      </c>
      <c r="AA30" s="92">
        <v>15820</v>
      </c>
      <c r="AB30" s="92">
        <v>1377</v>
      </c>
      <c r="AC30" s="92">
        <v>2295</v>
      </c>
      <c r="AD30" s="92">
        <v>1173</v>
      </c>
      <c r="AE30" s="76">
        <v>2578</v>
      </c>
      <c r="AF30" s="92">
        <v>-8390.84</v>
      </c>
      <c r="AG30" s="92">
        <v>-13995.99</v>
      </c>
      <c r="AH30" s="76"/>
      <c r="AI30" s="76"/>
      <c r="AJ30" s="76"/>
      <c r="AK30" s="76"/>
      <c r="AL30" s="92">
        <v>7400.71</v>
      </c>
      <c r="AM30" s="92">
        <v>13618.9</v>
      </c>
      <c r="AN30" s="92">
        <v>-85</v>
      </c>
      <c r="AO30" s="92">
        <v>-140</v>
      </c>
      <c r="AP30" s="92">
        <v>499</v>
      </c>
      <c r="AQ30" s="92">
        <v>953</v>
      </c>
      <c r="AR30" s="76">
        <v>21708</v>
      </c>
      <c r="AS30" s="76">
        <v>36921</v>
      </c>
      <c r="AT30" s="76">
        <v>-7982.07</v>
      </c>
      <c r="AU30" s="76">
        <v>-13860.82</v>
      </c>
      <c r="AV30" s="92">
        <v>25423</v>
      </c>
      <c r="AW30" s="92">
        <v>42322</v>
      </c>
      <c r="AX30" s="92">
        <v>2302</v>
      </c>
      <c r="AY30" s="92">
        <v>4116</v>
      </c>
      <c r="AZ30" s="76"/>
      <c r="BA30" s="76"/>
      <c r="BB30" s="92">
        <v>17211</v>
      </c>
      <c r="BC30" s="92">
        <v>29996</v>
      </c>
      <c r="BD30" s="92">
        <v>13041.99</v>
      </c>
      <c r="BE30" s="92">
        <v>24987.43</v>
      </c>
      <c r="BF30" s="92">
        <v>4257</v>
      </c>
      <c r="BG30" s="92">
        <v>7989</v>
      </c>
      <c r="BH30" s="92">
        <v>6934</v>
      </c>
      <c r="BI30" s="92">
        <v>12213</v>
      </c>
      <c r="BJ30" s="92">
        <v>16800</v>
      </c>
      <c r="BK30" s="92">
        <v>17432</v>
      </c>
      <c r="BL30" s="68">
        <f t="shared" si="4"/>
        <v>114914.77</v>
      </c>
      <c r="BM30" s="68">
        <f t="shared" si="5"/>
        <v>192133.15</v>
      </c>
    </row>
    <row r="31" spans="1:65" s="7" customFormat="1" x14ac:dyDescent="0.25">
      <c r="A31" s="10" t="s">
        <v>294</v>
      </c>
      <c r="B31" s="10">
        <v>4296</v>
      </c>
      <c r="C31" s="10">
        <v>7087</v>
      </c>
      <c r="D31" s="10"/>
      <c r="E31" s="10"/>
      <c r="F31" s="10"/>
      <c r="G31" s="10"/>
      <c r="H31" s="10">
        <v>109033</v>
      </c>
      <c r="I31" s="10">
        <v>187802</v>
      </c>
      <c r="J31" s="10"/>
      <c r="K31" s="10"/>
      <c r="L31" s="10">
        <v>71376</v>
      </c>
      <c r="M31" s="10">
        <v>120224</v>
      </c>
      <c r="N31" s="10"/>
      <c r="O31" s="10"/>
      <c r="P31" s="10">
        <v>4188.95</v>
      </c>
      <c r="Q31" s="10">
        <v>6990.86</v>
      </c>
      <c r="R31" s="10">
        <v>39329.79</v>
      </c>
      <c r="S31" s="10">
        <v>67130.3</v>
      </c>
      <c r="T31" s="10">
        <v>72624</v>
      </c>
      <c r="U31" s="10">
        <v>118221</v>
      </c>
      <c r="V31" s="10">
        <v>64361</v>
      </c>
      <c r="W31" s="10">
        <v>110797</v>
      </c>
      <c r="X31" s="10">
        <v>174044</v>
      </c>
      <c r="Y31" s="10">
        <v>305108</v>
      </c>
      <c r="Z31" s="10">
        <v>82527</v>
      </c>
      <c r="AA31" s="10">
        <v>141360</v>
      </c>
      <c r="AB31" s="10">
        <v>6298</v>
      </c>
      <c r="AC31" s="10">
        <v>10677</v>
      </c>
      <c r="AD31" s="10">
        <v>22828</v>
      </c>
      <c r="AE31" s="10">
        <v>38430</v>
      </c>
      <c r="AF31" s="10">
        <v>22639.87</v>
      </c>
      <c r="AG31" s="10">
        <v>37723.58</v>
      </c>
      <c r="AH31" s="10"/>
      <c r="AI31" s="10"/>
      <c r="AJ31" s="10"/>
      <c r="AK31" s="10"/>
      <c r="AL31" s="10">
        <v>111052.07</v>
      </c>
      <c r="AM31" s="10">
        <v>199940.14</v>
      </c>
      <c r="AN31" s="10">
        <v>1154</v>
      </c>
      <c r="AO31" s="10">
        <v>1721</v>
      </c>
      <c r="AP31" s="10">
        <v>6521</v>
      </c>
      <c r="AQ31" s="10">
        <v>12451</v>
      </c>
      <c r="AR31" s="10">
        <v>74928</v>
      </c>
      <c r="AS31" s="10">
        <v>121398</v>
      </c>
      <c r="AT31" s="10"/>
      <c r="AU31" s="10"/>
      <c r="AV31" s="10">
        <v>32681</v>
      </c>
      <c r="AW31" s="10">
        <v>53694</v>
      </c>
      <c r="AX31" s="10">
        <v>38143</v>
      </c>
      <c r="AY31" s="10">
        <v>68400</v>
      </c>
      <c r="AZ31" s="10"/>
      <c r="BA31" s="10"/>
      <c r="BB31" s="10">
        <v>104376</v>
      </c>
      <c r="BC31" s="10">
        <v>179822</v>
      </c>
      <c r="BD31" s="10">
        <v>218508.76</v>
      </c>
      <c r="BE31" s="10">
        <v>393489.36</v>
      </c>
      <c r="BF31" s="10">
        <v>80468</v>
      </c>
      <c r="BG31" s="10">
        <v>143314</v>
      </c>
      <c r="BH31" s="10">
        <v>129685</v>
      </c>
      <c r="BI31" s="10">
        <v>227945</v>
      </c>
      <c r="BJ31" s="10">
        <v>10563</v>
      </c>
      <c r="BK31" s="10">
        <v>26768</v>
      </c>
      <c r="BL31" s="63">
        <f t="shared" si="4"/>
        <v>1481625.44</v>
      </c>
      <c r="BM31" s="63">
        <f t="shared" si="5"/>
        <v>2580493.2399999998</v>
      </c>
    </row>
    <row r="32" spans="1:65" x14ac:dyDescent="0.25">
      <c r="A32" s="92" t="s">
        <v>295</v>
      </c>
      <c r="B32" s="92">
        <v>6315</v>
      </c>
      <c r="C32" s="92">
        <v>6030</v>
      </c>
      <c r="D32" s="92"/>
      <c r="E32" s="92"/>
      <c r="F32" s="92"/>
      <c r="G32" s="92"/>
      <c r="H32" s="92">
        <v>220717</v>
      </c>
      <c r="I32" s="92">
        <v>253263</v>
      </c>
      <c r="J32" s="92"/>
      <c r="K32" s="92"/>
      <c r="L32" s="92"/>
      <c r="M32" s="92">
        <v>143848</v>
      </c>
      <c r="N32" s="92"/>
      <c r="O32" s="92"/>
      <c r="P32" s="92">
        <v>6300.09</v>
      </c>
      <c r="Q32" s="92">
        <v>6199.45</v>
      </c>
      <c r="R32" s="92">
        <v>66838.8</v>
      </c>
      <c r="S32" s="92">
        <v>71571.08</v>
      </c>
      <c r="T32" s="92">
        <v>126585</v>
      </c>
      <c r="U32" s="92">
        <v>141098</v>
      </c>
      <c r="V32" s="92">
        <v>124352</v>
      </c>
      <c r="W32" s="92">
        <v>140913</v>
      </c>
      <c r="X32" s="92">
        <v>374246</v>
      </c>
      <c r="Y32" s="92">
        <v>368357</v>
      </c>
      <c r="Z32" s="92"/>
      <c r="AA32" s="92">
        <v>183120</v>
      </c>
      <c r="AB32" s="92">
        <v>13413</v>
      </c>
      <c r="AC32" s="92">
        <v>15773</v>
      </c>
      <c r="AD32" s="92"/>
      <c r="AE32" s="92"/>
      <c r="AF32" s="92">
        <v>35677.53</v>
      </c>
      <c r="AG32" s="92">
        <v>38307.72</v>
      </c>
      <c r="AH32" s="92"/>
      <c r="AI32" s="92"/>
      <c r="AJ32" s="92"/>
      <c r="AK32" s="92"/>
      <c r="AL32" s="92">
        <v>225904.29</v>
      </c>
      <c r="AM32" s="92">
        <v>227539.6</v>
      </c>
      <c r="AN32" s="92">
        <v>1601</v>
      </c>
      <c r="AO32" s="92">
        <v>2012</v>
      </c>
      <c r="AP32" s="92">
        <v>11300</v>
      </c>
      <c r="AQ32" s="92">
        <v>10117</v>
      </c>
      <c r="AR32" s="92">
        <v>126708</v>
      </c>
      <c r="AS32" s="92">
        <v>143518</v>
      </c>
      <c r="AT32" s="92"/>
      <c r="AU32" s="92"/>
      <c r="AV32" s="92">
        <v>63596</v>
      </c>
      <c r="AW32" s="92">
        <v>72084</v>
      </c>
      <c r="AX32" s="92">
        <v>86653</v>
      </c>
      <c r="AY32" s="92">
        <v>103684</v>
      </c>
      <c r="AZ32" s="92"/>
      <c r="BA32" s="92"/>
      <c r="BB32" s="92">
        <v>201250</v>
      </c>
      <c r="BC32" s="92">
        <v>226561</v>
      </c>
      <c r="BD32" s="92"/>
      <c r="BE32" s="92"/>
      <c r="BF32" s="92">
        <v>0</v>
      </c>
      <c r="BG32" s="92">
        <v>0</v>
      </c>
      <c r="BH32" s="92">
        <v>269646</v>
      </c>
      <c r="BI32" s="92">
        <v>275462</v>
      </c>
      <c r="BJ32" s="92">
        <v>35999</v>
      </c>
      <c r="BK32" s="92">
        <v>38022</v>
      </c>
      <c r="BL32" s="68">
        <f t="shared" si="4"/>
        <v>1997101.71</v>
      </c>
      <c r="BM32" s="68">
        <f t="shared" si="5"/>
        <v>2467479.85</v>
      </c>
    </row>
    <row r="33" spans="1:65" x14ac:dyDescent="0.25">
      <c r="A33" s="2" t="s">
        <v>296</v>
      </c>
      <c r="B33" s="92">
        <v>7579</v>
      </c>
      <c r="C33" s="92">
        <v>7579</v>
      </c>
      <c r="D33" s="92"/>
      <c r="E33" s="92"/>
      <c r="F33" s="92"/>
      <c r="G33" s="92"/>
      <c r="H33" s="92">
        <v>216736</v>
      </c>
      <c r="I33" s="92">
        <v>216736</v>
      </c>
      <c r="J33" s="92"/>
      <c r="K33" s="92"/>
      <c r="L33" s="92">
        <v>4391</v>
      </c>
      <c r="M33" s="92">
        <v>132074</v>
      </c>
      <c r="N33" s="92"/>
      <c r="O33" s="92"/>
      <c r="P33" s="92">
        <v>7312.44</v>
      </c>
      <c r="Q33" s="92">
        <v>7312.44</v>
      </c>
      <c r="R33" s="92">
        <v>71384.240000000005</v>
      </c>
      <c r="S33" s="92">
        <v>71384.240000000005</v>
      </c>
      <c r="T33" s="92">
        <v>133858</v>
      </c>
      <c r="U33" s="92">
        <v>133858</v>
      </c>
      <c r="V33" s="92">
        <v>-123868</v>
      </c>
      <c r="W33" s="92">
        <v>-123868</v>
      </c>
      <c r="X33" s="92">
        <v>348402</v>
      </c>
      <c r="Y33" s="92">
        <v>348401</v>
      </c>
      <c r="Z33" s="92">
        <v>604</v>
      </c>
      <c r="AA33" s="92">
        <v>162170</v>
      </c>
      <c r="AB33" s="92">
        <v>13011</v>
      </c>
      <c r="AC33" s="92">
        <v>13011</v>
      </c>
      <c r="AD33" s="92"/>
      <c r="AE33" s="92"/>
      <c r="AF33" s="92">
        <v>-39566.01</v>
      </c>
      <c r="AG33" s="92">
        <v>-39566.01</v>
      </c>
      <c r="AH33" s="92"/>
      <c r="AI33" s="92"/>
      <c r="AJ33" s="92"/>
      <c r="AK33" s="92"/>
      <c r="AL33" s="92">
        <v>226285.16</v>
      </c>
      <c r="AM33" s="92">
        <v>226285.16</v>
      </c>
      <c r="AN33" s="92">
        <v>-1823</v>
      </c>
      <c r="AO33" s="92">
        <v>-1823</v>
      </c>
      <c r="AP33" s="92">
        <v>12285</v>
      </c>
      <c r="AQ33" s="92">
        <v>12285</v>
      </c>
      <c r="AR33" s="92">
        <v>135127</v>
      </c>
      <c r="AS33" s="92">
        <v>135127</v>
      </c>
      <c r="AT33" s="92"/>
      <c r="AU33" s="92"/>
      <c r="AV33" s="92">
        <v>64157</v>
      </c>
      <c r="AW33" s="92">
        <v>64157</v>
      </c>
      <c r="AX33" s="92">
        <v>80351</v>
      </c>
      <c r="AY33" s="92">
        <v>80351</v>
      </c>
      <c r="AZ33" s="92"/>
      <c r="BA33" s="92"/>
      <c r="BB33" s="92">
        <v>200555</v>
      </c>
      <c r="BC33" s="92">
        <v>200555</v>
      </c>
      <c r="BD33" s="92"/>
      <c r="BE33" s="92"/>
      <c r="BF33" s="92">
        <v>-3289</v>
      </c>
      <c r="BG33" s="92">
        <v>-6063</v>
      </c>
      <c r="BH33" s="92">
        <v>267524</v>
      </c>
      <c r="BI33" s="92">
        <v>267524</v>
      </c>
      <c r="BJ33" s="92">
        <v>-42946</v>
      </c>
      <c r="BK33" s="92">
        <v>-42946</v>
      </c>
      <c r="BL33" s="68">
        <f t="shared" si="4"/>
        <v>1578069.83</v>
      </c>
      <c r="BM33" s="68">
        <f t="shared" si="5"/>
        <v>1864543.8299999998</v>
      </c>
    </row>
    <row r="34" spans="1:65" s="7" customFormat="1" x14ac:dyDescent="0.25">
      <c r="A34" s="10" t="s">
        <v>192</v>
      </c>
      <c r="B34" s="10">
        <v>3032</v>
      </c>
      <c r="C34" s="10">
        <v>5538</v>
      </c>
      <c r="D34" s="10"/>
      <c r="E34" s="10"/>
      <c r="F34" s="10"/>
      <c r="G34" s="10"/>
      <c r="H34" s="10">
        <v>113014</v>
      </c>
      <c r="I34" s="10">
        <v>224328</v>
      </c>
      <c r="J34" s="10"/>
      <c r="K34" s="10"/>
      <c r="L34" s="10">
        <v>66985</v>
      </c>
      <c r="M34" s="10">
        <v>131998</v>
      </c>
      <c r="N34" s="10"/>
      <c r="O34" s="10"/>
      <c r="P34" s="10">
        <v>3176.6</v>
      </c>
      <c r="Q34" s="10">
        <v>5877.87</v>
      </c>
      <c r="R34" s="10">
        <v>34784.339999999997</v>
      </c>
      <c r="S34" s="10">
        <v>67317.14</v>
      </c>
      <c r="T34" s="10">
        <v>65351</v>
      </c>
      <c r="U34" s="10">
        <v>125462</v>
      </c>
      <c r="V34" s="10">
        <v>64845</v>
      </c>
      <c r="W34" s="10">
        <v>127842</v>
      </c>
      <c r="X34" s="10">
        <v>199888</v>
      </c>
      <c r="Y34" s="10">
        <v>398177</v>
      </c>
      <c r="Z34" s="10">
        <v>81923</v>
      </c>
      <c r="AA34" s="10">
        <v>162311</v>
      </c>
      <c r="AB34" s="10">
        <v>6700</v>
      </c>
      <c r="AC34" s="10">
        <v>13439</v>
      </c>
      <c r="AD34" s="10">
        <v>23524</v>
      </c>
      <c r="AE34" s="10">
        <v>46370</v>
      </c>
      <c r="AF34" s="10">
        <v>18751.39</v>
      </c>
      <c r="AG34" s="10">
        <v>36465.29</v>
      </c>
      <c r="AH34" s="10"/>
      <c r="AI34" s="10"/>
      <c r="AJ34" s="10"/>
      <c r="AK34" s="10"/>
      <c r="AL34" s="10">
        <v>110671.19</v>
      </c>
      <c r="AM34" s="10">
        <v>201194.57</v>
      </c>
      <c r="AN34" s="10">
        <v>933</v>
      </c>
      <c r="AO34" s="10">
        <v>1910</v>
      </c>
      <c r="AP34" s="10">
        <v>5537</v>
      </c>
      <c r="AQ34" s="10">
        <v>10283</v>
      </c>
      <c r="AR34" s="10">
        <v>66510</v>
      </c>
      <c r="AS34" s="10">
        <v>129790</v>
      </c>
      <c r="AT34" s="10">
        <v>43714.54</v>
      </c>
      <c r="AU34" s="10">
        <v>85598.15</v>
      </c>
      <c r="AV34" s="10">
        <v>32120</v>
      </c>
      <c r="AW34" s="10">
        <v>61621</v>
      </c>
      <c r="AX34" s="10">
        <v>44445</v>
      </c>
      <c r="AY34" s="10">
        <v>91732</v>
      </c>
      <c r="AZ34" s="10"/>
      <c r="BA34" s="10"/>
      <c r="BB34" s="10">
        <v>105070</v>
      </c>
      <c r="BC34" s="10">
        <v>205828</v>
      </c>
      <c r="BD34" s="10">
        <v>239707.39</v>
      </c>
      <c r="BE34" s="10">
        <v>487118.56</v>
      </c>
      <c r="BF34" s="10">
        <v>83757</v>
      </c>
      <c r="BG34" s="10">
        <v>149377</v>
      </c>
      <c r="BH34" s="10">
        <v>131807</v>
      </c>
      <c r="BI34" s="10">
        <v>235884</v>
      </c>
      <c r="BJ34" s="10">
        <v>3616</v>
      </c>
      <c r="BK34" s="10">
        <v>21844</v>
      </c>
      <c r="BL34" s="63">
        <f t="shared" si="4"/>
        <v>1549862.4500000002</v>
      </c>
      <c r="BM34" s="63">
        <f t="shared" si="5"/>
        <v>3027305.58</v>
      </c>
    </row>
    <row r="36" spans="1:65" x14ac:dyDescent="0.25">
      <c r="A36" s="23" t="s">
        <v>185</v>
      </c>
    </row>
    <row r="37" spans="1:65" x14ac:dyDescent="0.25">
      <c r="A37" s="1" t="s">
        <v>0</v>
      </c>
      <c r="B37" s="147" t="s">
        <v>1</v>
      </c>
      <c r="C37" s="148"/>
      <c r="D37" s="147" t="s">
        <v>233</v>
      </c>
      <c r="E37" s="148"/>
      <c r="F37" s="147" t="s">
        <v>2</v>
      </c>
      <c r="G37" s="148"/>
      <c r="H37" s="147" t="s">
        <v>3</v>
      </c>
      <c r="I37" s="148"/>
      <c r="J37" s="147" t="s">
        <v>242</v>
      </c>
      <c r="K37" s="148"/>
      <c r="L37" s="147" t="s">
        <v>234</v>
      </c>
      <c r="M37" s="148"/>
      <c r="N37" s="147" t="s">
        <v>5</v>
      </c>
      <c r="O37" s="148"/>
      <c r="P37" s="147" t="s">
        <v>4</v>
      </c>
      <c r="Q37" s="148"/>
      <c r="R37" s="147" t="s">
        <v>6</v>
      </c>
      <c r="S37" s="148"/>
      <c r="T37" s="147" t="s">
        <v>254</v>
      </c>
      <c r="U37" s="148"/>
      <c r="V37" s="147" t="s">
        <v>7</v>
      </c>
      <c r="W37" s="148"/>
      <c r="X37" s="147" t="s">
        <v>8</v>
      </c>
      <c r="Y37" s="148"/>
      <c r="Z37" s="147" t="s">
        <v>9</v>
      </c>
      <c r="AA37" s="148"/>
      <c r="AB37" s="147" t="s">
        <v>241</v>
      </c>
      <c r="AC37" s="148"/>
      <c r="AD37" s="147" t="s">
        <v>10</v>
      </c>
      <c r="AE37" s="148"/>
      <c r="AF37" s="147" t="s">
        <v>11</v>
      </c>
      <c r="AG37" s="148"/>
      <c r="AH37" s="147" t="s">
        <v>235</v>
      </c>
      <c r="AI37" s="148"/>
      <c r="AJ37" s="147" t="s">
        <v>253</v>
      </c>
      <c r="AK37" s="148"/>
      <c r="AL37" s="147" t="s">
        <v>12</v>
      </c>
      <c r="AM37" s="148"/>
      <c r="AN37" s="147" t="s">
        <v>236</v>
      </c>
      <c r="AO37" s="148"/>
      <c r="AP37" s="147" t="s">
        <v>237</v>
      </c>
      <c r="AQ37" s="148"/>
      <c r="AR37" s="147" t="s">
        <v>240</v>
      </c>
      <c r="AS37" s="148"/>
      <c r="AT37" s="147" t="s">
        <v>13</v>
      </c>
      <c r="AU37" s="148"/>
      <c r="AV37" s="147" t="s">
        <v>14</v>
      </c>
      <c r="AW37" s="148"/>
      <c r="AX37" s="147" t="s">
        <v>15</v>
      </c>
      <c r="AY37" s="148"/>
      <c r="AZ37" s="147" t="s">
        <v>16</v>
      </c>
      <c r="BA37" s="148"/>
      <c r="BB37" s="147" t="s">
        <v>17</v>
      </c>
      <c r="BC37" s="148"/>
      <c r="BD37" s="147" t="s">
        <v>238</v>
      </c>
      <c r="BE37" s="148"/>
      <c r="BF37" s="147" t="s">
        <v>239</v>
      </c>
      <c r="BG37" s="148"/>
      <c r="BH37" s="147" t="s">
        <v>18</v>
      </c>
      <c r="BI37" s="148"/>
      <c r="BJ37" s="147" t="s">
        <v>19</v>
      </c>
      <c r="BK37" s="148"/>
      <c r="BL37" s="149" t="s">
        <v>20</v>
      </c>
      <c r="BM37" s="150"/>
    </row>
    <row r="38" spans="1:65" ht="30" x14ac:dyDescent="0.25">
      <c r="A38" s="1"/>
      <c r="B38" s="53" t="s">
        <v>243</v>
      </c>
      <c r="C38" s="54" t="s">
        <v>244</v>
      </c>
      <c r="D38" s="53" t="s">
        <v>243</v>
      </c>
      <c r="E38" s="54" t="s">
        <v>244</v>
      </c>
      <c r="F38" s="53" t="s">
        <v>243</v>
      </c>
      <c r="G38" s="54" t="s">
        <v>244</v>
      </c>
      <c r="H38" s="53" t="s">
        <v>243</v>
      </c>
      <c r="I38" s="54" t="s">
        <v>244</v>
      </c>
      <c r="J38" s="53" t="s">
        <v>243</v>
      </c>
      <c r="K38" s="54" t="s">
        <v>244</v>
      </c>
      <c r="L38" s="53" t="s">
        <v>243</v>
      </c>
      <c r="M38" s="54" t="s">
        <v>244</v>
      </c>
      <c r="N38" s="53" t="s">
        <v>243</v>
      </c>
      <c r="O38" s="54" t="s">
        <v>244</v>
      </c>
      <c r="P38" s="53" t="s">
        <v>243</v>
      </c>
      <c r="Q38" s="54" t="s">
        <v>244</v>
      </c>
      <c r="R38" s="53" t="s">
        <v>243</v>
      </c>
      <c r="S38" s="54" t="s">
        <v>244</v>
      </c>
      <c r="T38" s="53" t="s">
        <v>243</v>
      </c>
      <c r="U38" s="54" t="s">
        <v>244</v>
      </c>
      <c r="V38" s="53" t="s">
        <v>243</v>
      </c>
      <c r="W38" s="54" t="s">
        <v>244</v>
      </c>
      <c r="X38" s="53" t="s">
        <v>243</v>
      </c>
      <c r="Y38" s="54" t="s">
        <v>244</v>
      </c>
      <c r="Z38" s="53" t="s">
        <v>243</v>
      </c>
      <c r="AA38" s="54" t="s">
        <v>244</v>
      </c>
      <c r="AB38" s="53" t="s">
        <v>243</v>
      </c>
      <c r="AC38" s="54" t="s">
        <v>244</v>
      </c>
      <c r="AD38" s="53" t="s">
        <v>243</v>
      </c>
      <c r="AE38" s="54" t="s">
        <v>244</v>
      </c>
      <c r="AF38" s="53" t="s">
        <v>243</v>
      </c>
      <c r="AG38" s="54" t="s">
        <v>244</v>
      </c>
      <c r="AH38" s="53" t="s">
        <v>243</v>
      </c>
      <c r="AI38" s="54" t="s">
        <v>244</v>
      </c>
      <c r="AJ38" s="53" t="s">
        <v>243</v>
      </c>
      <c r="AK38" s="54" t="s">
        <v>244</v>
      </c>
      <c r="AL38" s="53" t="s">
        <v>243</v>
      </c>
      <c r="AM38" s="54" t="s">
        <v>244</v>
      </c>
      <c r="AN38" s="53" t="s">
        <v>243</v>
      </c>
      <c r="AO38" s="54" t="s">
        <v>244</v>
      </c>
      <c r="AP38" s="53" t="s">
        <v>243</v>
      </c>
      <c r="AQ38" s="54" t="s">
        <v>244</v>
      </c>
      <c r="AR38" s="53" t="s">
        <v>243</v>
      </c>
      <c r="AS38" s="54" t="s">
        <v>244</v>
      </c>
      <c r="AT38" s="53" t="s">
        <v>243</v>
      </c>
      <c r="AU38" s="54" t="s">
        <v>244</v>
      </c>
      <c r="AV38" s="53" t="s">
        <v>243</v>
      </c>
      <c r="AW38" s="54" t="s">
        <v>244</v>
      </c>
      <c r="AX38" s="53" t="s">
        <v>243</v>
      </c>
      <c r="AY38" s="54" t="s">
        <v>244</v>
      </c>
      <c r="AZ38" s="53" t="s">
        <v>243</v>
      </c>
      <c r="BA38" s="54" t="s">
        <v>244</v>
      </c>
      <c r="BB38" s="53" t="s">
        <v>243</v>
      </c>
      <c r="BC38" s="54" t="s">
        <v>244</v>
      </c>
      <c r="BD38" s="53" t="s">
        <v>243</v>
      </c>
      <c r="BE38" s="54" t="s">
        <v>244</v>
      </c>
      <c r="BF38" s="53" t="s">
        <v>243</v>
      </c>
      <c r="BG38" s="54" t="s">
        <v>244</v>
      </c>
      <c r="BH38" s="53" t="s">
        <v>243</v>
      </c>
      <c r="BI38" s="54" t="s">
        <v>244</v>
      </c>
      <c r="BJ38" s="53" t="s">
        <v>243</v>
      </c>
      <c r="BK38" s="54" t="s">
        <v>244</v>
      </c>
      <c r="BL38" s="105" t="s">
        <v>243</v>
      </c>
      <c r="BM38" s="106" t="s">
        <v>244</v>
      </c>
    </row>
    <row r="39" spans="1:65" x14ac:dyDescent="0.25">
      <c r="A39" s="92" t="s">
        <v>291</v>
      </c>
      <c r="B39" s="76"/>
      <c r="C39" s="76"/>
      <c r="D39" s="76"/>
      <c r="E39" s="76"/>
      <c r="F39" s="76"/>
      <c r="G39" s="76"/>
      <c r="H39" s="92">
        <v>5719</v>
      </c>
      <c r="I39" s="92">
        <v>12584</v>
      </c>
      <c r="J39" s="76"/>
      <c r="K39" s="76"/>
      <c r="L39" s="92">
        <v>695</v>
      </c>
      <c r="M39" s="92">
        <v>1532</v>
      </c>
      <c r="N39" s="76"/>
      <c r="O39" s="76"/>
      <c r="P39" s="92">
        <v>108.64</v>
      </c>
      <c r="Q39" s="92">
        <v>241.07</v>
      </c>
      <c r="R39" s="92">
        <v>1804.87</v>
      </c>
      <c r="S39" s="92">
        <v>3130.69</v>
      </c>
      <c r="T39" s="92">
        <v>878</v>
      </c>
      <c r="U39" s="92">
        <v>1432</v>
      </c>
      <c r="V39" s="92">
        <v>4853</v>
      </c>
      <c r="W39" s="92">
        <v>10643</v>
      </c>
      <c r="X39" s="92">
        <v>11882</v>
      </c>
      <c r="Y39" s="92">
        <v>27926</v>
      </c>
      <c r="Z39" s="92">
        <v>3014</v>
      </c>
      <c r="AA39" s="92">
        <v>5827</v>
      </c>
      <c r="AB39" s="92">
        <v>81</v>
      </c>
      <c r="AC39" s="92">
        <v>130</v>
      </c>
      <c r="AD39" s="92">
        <v>893.23</v>
      </c>
      <c r="AE39" s="92">
        <v>1775.77</v>
      </c>
      <c r="AF39" s="92">
        <v>109.98</v>
      </c>
      <c r="AG39" s="92">
        <v>317.95999999999998</v>
      </c>
      <c r="AH39" s="76"/>
      <c r="AI39" s="76"/>
      <c r="AJ39" s="76"/>
      <c r="AK39" s="76"/>
      <c r="AL39" s="92">
        <v>7959.34</v>
      </c>
      <c r="AM39" s="92">
        <v>15488.42</v>
      </c>
      <c r="AN39" s="76"/>
      <c r="AO39" s="76"/>
      <c r="AP39" s="92">
        <v>92</v>
      </c>
      <c r="AQ39" s="92">
        <v>204</v>
      </c>
      <c r="AR39" s="76">
        <v>5540</v>
      </c>
      <c r="AS39" s="76">
        <v>10998</v>
      </c>
      <c r="AT39" s="92">
        <v>1033.3800000000001</v>
      </c>
      <c r="AU39" s="92">
        <v>2871.2</v>
      </c>
      <c r="AV39" s="92">
        <v>1391</v>
      </c>
      <c r="AW39" s="92">
        <v>2718</v>
      </c>
      <c r="AX39" s="92">
        <v>407</v>
      </c>
      <c r="AY39" s="92">
        <v>682</v>
      </c>
      <c r="AZ39" s="76"/>
      <c r="BA39" s="76"/>
      <c r="BB39" s="92">
        <v>2975</v>
      </c>
      <c r="BC39" s="92">
        <v>5993</v>
      </c>
      <c r="BD39" s="92">
        <v>21100.48</v>
      </c>
      <c r="BE39" s="92">
        <v>40954.620000000003</v>
      </c>
      <c r="BF39" s="92">
        <v>9068</v>
      </c>
      <c r="BG39" s="92">
        <v>17422</v>
      </c>
      <c r="BH39" s="92">
        <v>8669</v>
      </c>
      <c r="BI39" s="92">
        <v>17220</v>
      </c>
      <c r="BJ39" s="92">
        <v>95</v>
      </c>
      <c r="BK39" s="92">
        <v>490</v>
      </c>
      <c r="BL39" s="68">
        <f t="shared" ref="BL39:BL45" si="6">SUM(B39+D39+F39+H39+J39+L39+N39+P39+R39+T39+V39+X39+Z39+AB39+AD39+AF39+AH39+AJ39+AL39+AN39+AP39+AR39+AT39+AV39+AX39+AZ39+BB39+BD39+BF39+BH39+BJ39)</f>
        <v>88368.92</v>
      </c>
      <c r="BM39" s="68">
        <f t="shared" ref="BM39:BM45" si="7">SUM(C39+E39+G39+I39+K39+M39+O39+Q39+S39+U39+W39+Y39+AA39+AC39+AE39+AG39+AI39+AK39+AM39+AO39+AQ39+AS39+AU39+AW39+AY39+BA39+BC39+BE39+BG39+BI39+BK39)</f>
        <v>180580.72999999998</v>
      </c>
    </row>
    <row r="40" spans="1:65" x14ac:dyDescent="0.25">
      <c r="A40" s="92" t="s">
        <v>292</v>
      </c>
      <c r="B40" s="76"/>
      <c r="C40" s="76"/>
      <c r="D40" s="76"/>
      <c r="E40" s="76"/>
      <c r="F40" s="76"/>
      <c r="G40" s="76"/>
      <c r="H40" s="92">
        <v>125</v>
      </c>
      <c r="I40" s="92">
        <v>371</v>
      </c>
      <c r="J40" s="76"/>
      <c r="K40" s="76"/>
      <c r="L40" s="92">
        <v>54</v>
      </c>
      <c r="M40" s="92">
        <v>106</v>
      </c>
      <c r="N40" s="76"/>
      <c r="O40" s="76"/>
      <c r="P40" s="92">
        <v>10.31</v>
      </c>
      <c r="Q40" s="92">
        <v>22.35</v>
      </c>
      <c r="R40" s="92">
        <v>132.01</v>
      </c>
      <c r="S40" s="92">
        <v>250.49</v>
      </c>
      <c r="T40" s="92">
        <v>92</v>
      </c>
      <c r="U40" s="92">
        <v>183</v>
      </c>
      <c r="V40" s="92">
        <v>109</v>
      </c>
      <c r="W40" s="92">
        <v>376</v>
      </c>
      <c r="X40" s="92">
        <v>1336</v>
      </c>
      <c r="Y40" s="92">
        <v>1849</v>
      </c>
      <c r="Z40" s="92">
        <v>79</v>
      </c>
      <c r="AA40" s="92">
        <v>243</v>
      </c>
      <c r="AB40" s="92">
        <v>10</v>
      </c>
      <c r="AC40" s="92">
        <v>22</v>
      </c>
      <c r="AD40" s="92">
        <v>32.4</v>
      </c>
      <c r="AE40" s="92">
        <v>72.23</v>
      </c>
      <c r="AF40" s="92">
        <v>40.28</v>
      </c>
      <c r="AG40" s="92">
        <v>90.93</v>
      </c>
      <c r="AH40" s="76"/>
      <c r="AI40" s="76"/>
      <c r="AJ40" s="76"/>
      <c r="AK40" s="76"/>
      <c r="AL40" s="92">
        <v>385.15</v>
      </c>
      <c r="AM40" s="92">
        <v>1285.4100000000001</v>
      </c>
      <c r="AN40" s="92">
        <v>2</v>
      </c>
      <c r="AO40" s="92">
        <v>4</v>
      </c>
      <c r="AP40" s="92">
        <v>6</v>
      </c>
      <c r="AQ40" s="92">
        <v>173</v>
      </c>
      <c r="AR40" s="76">
        <v>68</v>
      </c>
      <c r="AS40" s="76">
        <v>229</v>
      </c>
      <c r="AT40" s="92">
        <v>138.12</v>
      </c>
      <c r="AU40" s="92">
        <v>334.48</v>
      </c>
      <c r="AV40" s="92">
        <v>16</v>
      </c>
      <c r="AW40" s="92">
        <v>35</v>
      </c>
      <c r="AX40" s="92">
        <v>20</v>
      </c>
      <c r="AY40" s="92">
        <v>44</v>
      </c>
      <c r="AZ40" s="76"/>
      <c r="BA40" s="76"/>
      <c r="BB40" s="92">
        <v>167</v>
      </c>
      <c r="BC40" s="92">
        <v>380</v>
      </c>
      <c r="BD40" s="92">
        <v>1014.21</v>
      </c>
      <c r="BE40" s="92">
        <v>2703.47</v>
      </c>
      <c r="BF40" s="92">
        <v>176</v>
      </c>
      <c r="BG40" s="92">
        <v>275</v>
      </c>
      <c r="BH40" s="92">
        <v>280</v>
      </c>
      <c r="BI40" s="92">
        <v>1054</v>
      </c>
      <c r="BJ40" s="92">
        <v>10</v>
      </c>
      <c r="BK40" s="92">
        <v>22</v>
      </c>
      <c r="BL40" s="68">
        <f t="shared" si="6"/>
        <v>4302.4799999999996</v>
      </c>
      <c r="BM40" s="68">
        <f t="shared" si="7"/>
        <v>10125.359999999999</v>
      </c>
    </row>
    <row r="41" spans="1:65" x14ac:dyDescent="0.25">
      <c r="A41" s="92" t="s">
        <v>293</v>
      </c>
      <c r="B41" s="76"/>
      <c r="C41" s="76"/>
      <c r="D41" s="76"/>
      <c r="E41" s="76"/>
      <c r="F41" s="76"/>
      <c r="G41" s="76"/>
      <c r="H41" s="92">
        <v>-5266</v>
      </c>
      <c r="I41" s="92">
        <v>-11559</v>
      </c>
      <c r="J41" s="76"/>
      <c r="K41" s="76"/>
      <c r="L41" s="92">
        <v>488</v>
      </c>
      <c r="M41" s="92">
        <v>961</v>
      </c>
      <c r="N41" s="76"/>
      <c r="O41" s="76"/>
      <c r="P41" s="92">
        <v>101.48</v>
      </c>
      <c r="Q41" s="92">
        <v>231.57</v>
      </c>
      <c r="R41" s="92">
        <v>1649.57</v>
      </c>
      <c r="S41" s="92">
        <v>2792.36</v>
      </c>
      <c r="T41" s="92">
        <v>877</v>
      </c>
      <c r="U41" s="92">
        <v>1425</v>
      </c>
      <c r="V41" s="92">
        <v>-3574</v>
      </c>
      <c r="W41" s="92">
        <v>-8054</v>
      </c>
      <c r="X41" s="92">
        <v>9144</v>
      </c>
      <c r="Y41" s="92">
        <v>21705</v>
      </c>
      <c r="Z41" s="92">
        <v>2659</v>
      </c>
      <c r="AA41" s="92">
        <v>5143</v>
      </c>
      <c r="AB41" s="92">
        <v>70</v>
      </c>
      <c r="AC41" s="92">
        <v>119</v>
      </c>
      <c r="AD41" s="92">
        <v>641.55999999999995</v>
      </c>
      <c r="AE41" s="92">
        <v>1577.59</v>
      </c>
      <c r="AF41" s="92">
        <v>-120.84</v>
      </c>
      <c r="AG41" s="92">
        <v>-339.23</v>
      </c>
      <c r="AH41" s="76"/>
      <c r="AI41" s="76"/>
      <c r="AJ41" s="76"/>
      <c r="AK41" s="76"/>
      <c r="AL41" s="92">
        <v>4426.6099999999997</v>
      </c>
      <c r="AM41" s="92">
        <v>6704.21</v>
      </c>
      <c r="AN41" s="92"/>
      <c r="AO41" s="92"/>
      <c r="AP41" s="92">
        <v>79</v>
      </c>
      <c r="AQ41" s="92">
        <v>298</v>
      </c>
      <c r="AR41" s="76">
        <v>4462</v>
      </c>
      <c r="AS41" s="76">
        <v>8936</v>
      </c>
      <c r="AT41" s="92">
        <v>-932.43</v>
      </c>
      <c r="AU41" s="92">
        <v>-2647.23</v>
      </c>
      <c r="AV41" s="92">
        <v>887</v>
      </c>
      <c r="AW41" s="92">
        <v>1868</v>
      </c>
      <c r="AX41" s="92">
        <v>203</v>
      </c>
      <c r="AY41" s="92">
        <v>327</v>
      </c>
      <c r="AZ41" s="76"/>
      <c r="BA41" s="76"/>
      <c r="BB41" s="92">
        <v>2537</v>
      </c>
      <c r="BC41" s="92">
        <v>5249</v>
      </c>
      <c r="BD41" s="92">
        <v>10844.27</v>
      </c>
      <c r="BE41" s="92">
        <v>20962.68</v>
      </c>
      <c r="BF41" s="92">
        <v>4892</v>
      </c>
      <c r="BG41" s="92">
        <v>8797</v>
      </c>
      <c r="BH41" s="92">
        <v>4430</v>
      </c>
      <c r="BI41" s="92">
        <v>9735</v>
      </c>
      <c r="BJ41" s="92">
        <v>109</v>
      </c>
      <c r="BK41" s="92">
        <v>504</v>
      </c>
      <c r="BL41" s="68">
        <f t="shared" si="6"/>
        <v>38607.22</v>
      </c>
      <c r="BM41" s="68">
        <f t="shared" si="7"/>
        <v>74735.950000000012</v>
      </c>
    </row>
    <row r="42" spans="1:65" s="7" customFormat="1" x14ac:dyDescent="0.25">
      <c r="A42" s="10" t="s">
        <v>294</v>
      </c>
      <c r="B42" s="10"/>
      <c r="C42" s="10"/>
      <c r="D42" s="10"/>
      <c r="E42" s="10"/>
      <c r="F42" s="10"/>
      <c r="G42" s="10"/>
      <c r="H42" s="10">
        <v>579</v>
      </c>
      <c r="I42" s="10">
        <v>1396</v>
      </c>
      <c r="J42" s="10"/>
      <c r="K42" s="10"/>
      <c r="L42" s="10">
        <v>261</v>
      </c>
      <c r="M42" s="10">
        <v>677</v>
      </c>
      <c r="N42" s="10"/>
      <c r="O42" s="10"/>
      <c r="P42" s="10">
        <v>17.47</v>
      </c>
      <c r="Q42" s="10">
        <v>31.85</v>
      </c>
      <c r="R42" s="10">
        <v>287.31</v>
      </c>
      <c r="S42" s="10">
        <v>588.82000000000005</v>
      </c>
      <c r="T42" s="10">
        <v>92</v>
      </c>
      <c r="U42" s="10">
        <v>190</v>
      </c>
      <c r="V42" s="10">
        <v>1388</v>
      </c>
      <c r="W42" s="10">
        <v>2965</v>
      </c>
      <c r="X42" s="10">
        <v>4074</v>
      </c>
      <c r="Y42" s="10">
        <v>8070</v>
      </c>
      <c r="Z42" s="10">
        <v>434</v>
      </c>
      <c r="AA42" s="10">
        <v>927</v>
      </c>
      <c r="AB42" s="10">
        <v>21</v>
      </c>
      <c r="AC42" s="10">
        <v>34</v>
      </c>
      <c r="AD42" s="10">
        <v>284.07</v>
      </c>
      <c r="AE42" s="10">
        <v>270.41000000000003</v>
      </c>
      <c r="AF42" s="10">
        <v>29.42</v>
      </c>
      <c r="AG42" s="10">
        <v>69.66</v>
      </c>
      <c r="AH42" s="10"/>
      <c r="AI42" s="10"/>
      <c r="AJ42" s="10"/>
      <c r="AK42" s="10"/>
      <c r="AL42" s="10">
        <v>3917.88</v>
      </c>
      <c r="AM42" s="10">
        <v>10069.629999999999</v>
      </c>
      <c r="AN42" s="10">
        <v>2</v>
      </c>
      <c r="AO42" s="10">
        <v>4</v>
      </c>
      <c r="AP42" s="10">
        <v>19</v>
      </c>
      <c r="AQ42" s="10">
        <v>79</v>
      </c>
      <c r="AR42" s="10">
        <v>1145</v>
      </c>
      <c r="AS42" s="10">
        <v>2292</v>
      </c>
      <c r="AT42" s="10"/>
      <c r="AU42" s="10"/>
      <c r="AV42" s="10">
        <v>520</v>
      </c>
      <c r="AW42" s="10">
        <v>885</v>
      </c>
      <c r="AX42" s="10">
        <v>225</v>
      </c>
      <c r="AY42" s="10">
        <v>398</v>
      </c>
      <c r="AZ42" s="10"/>
      <c r="BA42" s="10"/>
      <c r="BB42" s="10">
        <v>605</v>
      </c>
      <c r="BC42" s="10">
        <v>1124</v>
      </c>
      <c r="BD42" s="10">
        <v>11270.43</v>
      </c>
      <c r="BE42" s="10">
        <v>22695.41</v>
      </c>
      <c r="BF42" s="10">
        <v>4352</v>
      </c>
      <c r="BG42" s="10">
        <v>8900</v>
      </c>
      <c r="BH42" s="10">
        <v>4519</v>
      </c>
      <c r="BI42" s="10">
        <v>8540</v>
      </c>
      <c r="BJ42" s="10">
        <v>-3</v>
      </c>
      <c r="BK42" s="10">
        <v>8</v>
      </c>
      <c r="BL42" s="63">
        <f t="shared" si="6"/>
        <v>34039.58</v>
      </c>
      <c r="BM42" s="63">
        <f t="shared" si="7"/>
        <v>70214.78</v>
      </c>
    </row>
    <row r="43" spans="1:65" x14ac:dyDescent="0.25">
      <c r="A43" s="92" t="s">
        <v>295</v>
      </c>
      <c r="B43" s="92"/>
      <c r="C43" s="92"/>
      <c r="D43" s="92"/>
      <c r="E43" s="92"/>
      <c r="F43" s="92"/>
      <c r="G43" s="92"/>
      <c r="H43" s="92">
        <v>1680</v>
      </c>
      <c r="I43" s="92">
        <v>1547</v>
      </c>
      <c r="J43" s="92"/>
      <c r="K43" s="92"/>
      <c r="L43" s="92"/>
      <c r="M43" s="92">
        <v>756</v>
      </c>
      <c r="N43" s="92"/>
      <c r="O43" s="92"/>
      <c r="P43" s="92">
        <v>45.43</v>
      </c>
      <c r="Q43" s="92">
        <v>37.18</v>
      </c>
      <c r="R43" s="92">
        <v>537.59</v>
      </c>
      <c r="S43" s="92">
        <v>474.12</v>
      </c>
      <c r="T43" s="92">
        <v>147</v>
      </c>
      <c r="U43" s="92">
        <v>89</v>
      </c>
      <c r="V43" s="92">
        <v>2009</v>
      </c>
      <c r="W43" s="92">
        <v>1933</v>
      </c>
      <c r="X43" s="92">
        <v>10380</v>
      </c>
      <c r="Y43" s="92">
        <v>9043</v>
      </c>
      <c r="Z43" s="92"/>
      <c r="AA43" s="92">
        <v>1075</v>
      </c>
      <c r="AB43" s="92">
        <v>26</v>
      </c>
      <c r="AC43" s="92">
        <v>25</v>
      </c>
      <c r="AD43" s="92"/>
      <c r="AE43" s="92"/>
      <c r="AF43" s="92">
        <v>86.31</v>
      </c>
      <c r="AG43" s="92">
        <v>85.71</v>
      </c>
      <c r="AH43" s="92"/>
      <c r="AI43" s="92"/>
      <c r="AJ43" s="92"/>
      <c r="AK43" s="92"/>
      <c r="AL43" s="92">
        <v>11625.24</v>
      </c>
      <c r="AM43" s="92">
        <v>10965.11</v>
      </c>
      <c r="AN43" s="92">
        <v>3</v>
      </c>
      <c r="AO43" s="92">
        <v>3</v>
      </c>
      <c r="AP43" s="92">
        <v>70</v>
      </c>
      <c r="AQ43" s="92">
        <v>15</v>
      </c>
      <c r="AR43" s="92">
        <v>1794</v>
      </c>
      <c r="AS43" s="92">
        <v>1540</v>
      </c>
      <c r="AT43" s="92"/>
      <c r="AU43" s="92"/>
      <c r="AV43" s="92">
        <v>1439</v>
      </c>
      <c r="AW43" s="92">
        <v>1469</v>
      </c>
      <c r="AX43" s="92">
        <v>485</v>
      </c>
      <c r="AY43" s="92">
        <v>516</v>
      </c>
      <c r="AZ43" s="92"/>
      <c r="BA43" s="92"/>
      <c r="BB43" s="92">
        <v>940</v>
      </c>
      <c r="BC43" s="92">
        <v>671</v>
      </c>
      <c r="BD43" s="92"/>
      <c r="BE43" s="92"/>
      <c r="BF43" s="92">
        <v>0</v>
      </c>
      <c r="BG43" s="92"/>
      <c r="BH43" s="92">
        <v>10802</v>
      </c>
      <c r="BI43" s="92">
        <v>11282</v>
      </c>
      <c r="BJ43" s="92">
        <v>89</v>
      </c>
      <c r="BK43" s="92">
        <v>75</v>
      </c>
      <c r="BL43" s="68">
        <f t="shared" si="6"/>
        <v>42158.57</v>
      </c>
      <c r="BM43" s="68">
        <f t="shared" si="7"/>
        <v>41601.119999999995</v>
      </c>
    </row>
    <row r="44" spans="1:65" x14ac:dyDescent="0.25">
      <c r="A44" s="2" t="s">
        <v>296</v>
      </c>
      <c r="B44" s="92"/>
      <c r="C44" s="92"/>
      <c r="D44" s="92"/>
      <c r="E44" s="92"/>
      <c r="F44" s="92"/>
      <c r="G44" s="92"/>
      <c r="H44" s="92">
        <v>1636</v>
      </c>
      <c r="I44" s="92">
        <v>1636</v>
      </c>
      <c r="J44" s="92"/>
      <c r="K44" s="92"/>
      <c r="L44" s="92">
        <v>-52</v>
      </c>
      <c r="M44" s="92">
        <v>743</v>
      </c>
      <c r="N44" s="92"/>
      <c r="O44" s="92"/>
      <c r="P44" s="92">
        <v>49.44</v>
      </c>
      <c r="Q44" s="92">
        <v>49.44</v>
      </c>
      <c r="R44" s="92">
        <v>540.51</v>
      </c>
      <c r="S44" s="92">
        <v>540.51</v>
      </c>
      <c r="T44" s="92">
        <v>186</v>
      </c>
      <c r="U44" s="92">
        <v>186</v>
      </c>
      <c r="V44" s="92">
        <v>-2315</v>
      </c>
      <c r="W44" s="92">
        <v>-2315</v>
      </c>
      <c r="X44" s="92">
        <v>10745</v>
      </c>
      <c r="Y44" s="92">
        <v>10745</v>
      </c>
      <c r="Z44" s="92">
        <v>-10</v>
      </c>
      <c r="AA44" s="92">
        <v>1113</v>
      </c>
      <c r="AB44" s="92">
        <v>32</v>
      </c>
      <c r="AC44" s="92">
        <v>32</v>
      </c>
      <c r="AD44" s="92"/>
      <c r="AE44" s="92"/>
      <c r="AF44" s="92">
        <v>-79.8</v>
      </c>
      <c r="AG44" s="92">
        <v>-79.8</v>
      </c>
      <c r="AH44" s="92"/>
      <c r="AI44" s="92"/>
      <c r="AJ44" s="92"/>
      <c r="AK44" s="92"/>
      <c r="AL44" s="92">
        <v>11447.27</v>
      </c>
      <c r="AM44" s="92">
        <v>11447.27</v>
      </c>
      <c r="AN44" s="92">
        <v>-3</v>
      </c>
      <c r="AO44" s="92">
        <v>-3</v>
      </c>
      <c r="AP44" s="92">
        <v>63</v>
      </c>
      <c r="AQ44" s="92">
        <v>63</v>
      </c>
      <c r="AR44" s="92">
        <v>1717</v>
      </c>
      <c r="AS44" s="92">
        <v>1717</v>
      </c>
      <c r="AT44" s="92"/>
      <c r="AU44" s="92"/>
      <c r="AV44" s="92">
        <v>1521</v>
      </c>
      <c r="AW44" s="92">
        <v>1521</v>
      </c>
      <c r="AX44" s="92">
        <v>501</v>
      </c>
      <c r="AY44" s="92">
        <v>501</v>
      </c>
      <c r="AZ44" s="92"/>
      <c r="BA44" s="92"/>
      <c r="BB44" s="92">
        <v>1144</v>
      </c>
      <c r="BC44" s="92">
        <v>1144</v>
      </c>
      <c r="BD44" s="92"/>
      <c r="BE44" s="92"/>
      <c r="BF44" s="92">
        <v>-85</v>
      </c>
      <c r="BG44" s="92">
        <v>312</v>
      </c>
      <c r="BH44" s="92">
        <v>10672</v>
      </c>
      <c r="BI44" s="92">
        <v>10672</v>
      </c>
      <c r="BJ44" s="92">
        <v>-80</v>
      </c>
      <c r="BK44" s="92">
        <v>-80</v>
      </c>
      <c r="BL44" s="68">
        <f t="shared" si="6"/>
        <v>37629.42</v>
      </c>
      <c r="BM44" s="68">
        <f t="shared" si="7"/>
        <v>39944.42</v>
      </c>
    </row>
    <row r="45" spans="1:65" s="7" customFormat="1" x14ac:dyDescent="0.25">
      <c r="A45" s="10" t="s">
        <v>192</v>
      </c>
      <c r="B45" s="10"/>
      <c r="C45" s="10"/>
      <c r="D45" s="10"/>
      <c r="E45" s="10"/>
      <c r="F45" s="10"/>
      <c r="G45" s="10"/>
      <c r="H45" s="10">
        <v>623</v>
      </c>
      <c r="I45" s="10">
        <v>1307</v>
      </c>
      <c r="J45" s="10"/>
      <c r="K45" s="10"/>
      <c r="L45" s="10">
        <v>313</v>
      </c>
      <c r="M45" s="10">
        <v>690</v>
      </c>
      <c r="N45" s="10"/>
      <c r="O45" s="10"/>
      <c r="P45" s="10">
        <v>13.46</v>
      </c>
      <c r="Q45" s="10">
        <v>19.59</v>
      </c>
      <c r="R45" s="10">
        <v>284.39</v>
      </c>
      <c r="S45" s="10">
        <v>522.42999999999995</v>
      </c>
      <c r="T45" s="10">
        <v>53</v>
      </c>
      <c r="U45" s="10">
        <v>93</v>
      </c>
      <c r="V45" s="10">
        <v>1082</v>
      </c>
      <c r="W45" s="10">
        <v>2583</v>
      </c>
      <c r="X45" s="10">
        <v>3709</v>
      </c>
      <c r="Y45" s="10">
        <v>6833</v>
      </c>
      <c r="Z45" s="10">
        <v>444</v>
      </c>
      <c r="AA45" s="10">
        <v>889</v>
      </c>
      <c r="AB45" s="10">
        <v>14</v>
      </c>
      <c r="AC45" s="10">
        <v>26</v>
      </c>
      <c r="AD45" s="10">
        <v>160.59</v>
      </c>
      <c r="AE45" s="10">
        <v>322.49</v>
      </c>
      <c r="AF45" s="10">
        <v>35.93</v>
      </c>
      <c r="AG45" s="10">
        <v>75.569999999999993</v>
      </c>
      <c r="AH45" s="10"/>
      <c r="AI45" s="10"/>
      <c r="AJ45" s="10"/>
      <c r="AK45" s="10"/>
      <c r="AL45" s="10">
        <v>4095.86</v>
      </c>
      <c r="AM45" s="10">
        <v>9587.4599999999991</v>
      </c>
      <c r="AN45" s="10">
        <v>2</v>
      </c>
      <c r="AO45" s="10">
        <v>4</v>
      </c>
      <c r="AP45" s="10">
        <v>26</v>
      </c>
      <c r="AQ45" s="10">
        <v>32</v>
      </c>
      <c r="AR45" s="10">
        <v>1223</v>
      </c>
      <c r="AS45" s="10">
        <v>2115</v>
      </c>
      <c r="AT45" s="10">
        <v>269.95</v>
      </c>
      <c r="AU45" s="10">
        <v>505.46</v>
      </c>
      <c r="AV45" s="10">
        <v>438</v>
      </c>
      <c r="AW45" s="10">
        <v>833</v>
      </c>
      <c r="AX45" s="10">
        <v>209</v>
      </c>
      <c r="AY45" s="10">
        <v>414</v>
      </c>
      <c r="AZ45" s="10"/>
      <c r="BA45" s="10"/>
      <c r="BB45" s="10">
        <v>401</v>
      </c>
      <c r="BC45" s="10">
        <v>651</v>
      </c>
      <c r="BD45" s="10">
        <v>8963.75</v>
      </c>
      <c r="BE45" s="10">
        <v>18372.849999999999</v>
      </c>
      <c r="BF45" s="10">
        <v>4436</v>
      </c>
      <c r="BG45" s="10">
        <v>8588</v>
      </c>
      <c r="BH45" s="10">
        <v>4649</v>
      </c>
      <c r="BI45" s="10">
        <v>9149</v>
      </c>
      <c r="BJ45" s="10">
        <v>6</v>
      </c>
      <c r="BK45" s="10">
        <v>3</v>
      </c>
      <c r="BL45" s="63">
        <f t="shared" si="6"/>
        <v>31451.93</v>
      </c>
      <c r="BM45" s="63">
        <f t="shared" si="7"/>
        <v>63615.85</v>
      </c>
    </row>
    <row r="47" spans="1:65" x14ac:dyDescent="0.25">
      <c r="A47" s="23" t="s">
        <v>186</v>
      </c>
    </row>
    <row r="48" spans="1:65" x14ac:dyDescent="0.25">
      <c r="A48" s="1" t="s">
        <v>0</v>
      </c>
      <c r="B48" s="147" t="s">
        <v>1</v>
      </c>
      <c r="C48" s="148"/>
      <c r="D48" s="147" t="s">
        <v>233</v>
      </c>
      <c r="E48" s="148"/>
      <c r="F48" s="147" t="s">
        <v>2</v>
      </c>
      <c r="G48" s="148"/>
      <c r="H48" s="147" t="s">
        <v>3</v>
      </c>
      <c r="I48" s="148"/>
      <c r="J48" s="147" t="s">
        <v>242</v>
      </c>
      <c r="K48" s="148"/>
      <c r="L48" s="147" t="s">
        <v>234</v>
      </c>
      <c r="M48" s="148"/>
      <c r="N48" s="147" t="s">
        <v>5</v>
      </c>
      <c r="O48" s="148"/>
      <c r="P48" s="147" t="s">
        <v>4</v>
      </c>
      <c r="Q48" s="148"/>
      <c r="R48" s="147" t="s">
        <v>6</v>
      </c>
      <c r="S48" s="148"/>
      <c r="T48" s="147" t="s">
        <v>254</v>
      </c>
      <c r="U48" s="148"/>
      <c r="V48" s="147" t="s">
        <v>7</v>
      </c>
      <c r="W48" s="148"/>
      <c r="X48" s="147" t="s">
        <v>8</v>
      </c>
      <c r="Y48" s="148"/>
      <c r="Z48" s="147" t="s">
        <v>9</v>
      </c>
      <c r="AA48" s="148"/>
      <c r="AB48" s="147" t="s">
        <v>241</v>
      </c>
      <c r="AC48" s="148"/>
      <c r="AD48" s="147" t="s">
        <v>10</v>
      </c>
      <c r="AE48" s="148"/>
      <c r="AF48" s="147" t="s">
        <v>11</v>
      </c>
      <c r="AG48" s="148"/>
      <c r="AH48" s="147" t="s">
        <v>235</v>
      </c>
      <c r="AI48" s="148"/>
      <c r="AJ48" s="147" t="s">
        <v>253</v>
      </c>
      <c r="AK48" s="148"/>
      <c r="AL48" s="147" t="s">
        <v>12</v>
      </c>
      <c r="AM48" s="148"/>
      <c r="AN48" s="147" t="s">
        <v>236</v>
      </c>
      <c r="AO48" s="148"/>
      <c r="AP48" s="147" t="s">
        <v>237</v>
      </c>
      <c r="AQ48" s="148"/>
      <c r="AR48" s="147" t="s">
        <v>240</v>
      </c>
      <c r="AS48" s="148"/>
      <c r="AT48" s="147" t="s">
        <v>13</v>
      </c>
      <c r="AU48" s="148"/>
      <c r="AV48" s="147" t="s">
        <v>14</v>
      </c>
      <c r="AW48" s="148"/>
      <c r="AX48" s="147" t="s">
        <v>15</v>
      </c>
      <c r="AY48" s="148"/>
      <c r="AZ48" s="147" t="s">
        <v>16</v>
      </c>
      <c r="BA48" s="148"/>
      <c r="BB48" s="147" t="s">
        <v>17</v>
      </c>
      <c r="BC48" s="148"/>
      <c r="BD48" s="147" t="s">
        <v>238</v>
      </c>
      <c r="BE48" s="148"/>
      <c r="BF48" s="147" t="s">
        <v>239</v>
      </c>
      <c r="BG48" s="148"/>
      <c r="BH48" s="147" t="s">
        <v>18</v>
      </c>
      <c r="BI48" s="148"/>
      <c r="BJ48" s="147" t="s">
        <v>19</v>
      </c>
      <c r="BK48" s="148"/>
      <c r="BL48" s="149" t="s">
        <v>20</v>
      </c>
      <c r="BM48" s="150"/>
    </row>
    <row r="49" spans="1:65" ht="30" x14ac:dyDescent="0.25">
      <c r="A49" s="1"/>
      <c r="B49" s="53" t="s">
        <v>243</v>
      </c>
      <c r="C49" s="54" t="s">
        <v>244</v>
      </c>
      <c r="D49" s="53" t="s">
        <v>243</v>
      </c>
      <c r="E49" s="54" t="s">
        <v>244</v>
      </c>
      <c r="F49" s="53" t="s">
        <v>243</v>
      </c>
      <c r="G49" s="54" t="s">
        <v>244</v>
      </c>
      <c r="H49" s="53" t="s">
        <v>243</v>
      </c>
      <c r="I49" s="54" t="s">
        <v>244</v>
      </c>
      <c r="J49" s="53" t="s">
        <v>243</v>
      </c>
      <c r="K49" s="54" t="s">
        <v>244</v>
      </c>
      <c r="L49" s="53" t="s">
        <v>243</v>
      </c>
      <c r="M49" s="54" t="s">
        <v>244</v>
      </c>
      <c r="N49" s="53" t="s">
        <v>243</v>
      </c>
      <c r="O49" s="54" t="s">
        <v>244</v>
      </c>
      <c r="P49" s="53" t="s">
        <v>243</v>
      </c>
      <c r="Q49" s="54" t="s">
        <v>244</v>
      </c>
      <c r="R49" s="53" t="s">
        <v>243</v>
      </c>
      <c r="S49" s="54" t="s">
        <v>244</v>
      </c>
      <c r="T49" s="53" t="s">
        <v>243</v>
      </c>
      <c r="U49" s="54" t="s">
        <v>244</v>
      </c>
      <c r="V49" s="53" t="s">
        <v>243</v>
      </c>
      <c r="W49" s="54" t="s">
        <v>244</v>
      </c>
      <c r="X49" s="53" t="s">
        <v>243</v>
      </c>
      <c r="Y49" s="54" t="s">
        <v>244</v>
      </c>
      <c r="Z49" s="53" t="s">
        <v>243</v>
      </c>
      <c r="AA49" s="54" t="s">
        <v>244</v>
      </c>
      <c r="AB49" s="53" t="s">
        <v>243</v>
      </c>
      <c r="AC49" s="54" t="s">
        <v>244</v>
      </c>
      <c r="AD49" s="53" t="s">
        <v>243</v>
      </c>
      <c r="AE49" s="54" t="s">
        <v>244</v>
      </c>
      <c r="AF49" s="53" t="s">
        <v>243</v>
      </c>
      <c r="AG49" s="54" t="s">
        <v>244</v>
      </c>
      <c r="AH49" s="53" t="s">
        <v>243</v>
      </c>
      <c r="AI49" s="54" t="s">
        <v>244</v>
      </c>
      <c r="AJ49" s="53" t="s">
        <v>243</v>
      </c>
      <c r="AK49" s="54" t="s">
        <v>244</v>
      </c>
      <c r="AL49" s="53" t="s">
        <v>243</v>
      </c>
      <c r="AM49" s="54" t="s">
        <v>244</v>
      </c>
      <c r="AN49" s="53" t="s">
        <v>243</v>
      </c>
      <c r="AO49" s="54" t="s">
        <v>244</v>
      </c>
      <c r="AP49" s="53" t="s">
        <v>243</v>
      </c>
      <c r="AQ49" s="54" t="s">
        <v>244</v>
      </c>
      <c r="AR49" s="53" t="s">
        <v>243</v>
      </c>
      <c r="AS49" s="54" t="s">
        <v>244</v>
      </c>
      <c r="AT49" s="53" t="s">
        <v>243</v>
      </c>
      <c r="AU49" s="54" t="s">
        <v>244</v>
      </c>
      <c r="AV49" s="53" t="s">
        <v>243</v>
      </c>
      <c r="AW49" s="54" t="s">
        <v>244</v>
      </c>
      <c r="AX49" s="53" t="s">
        <v>243</v>
      </c>
      <c r="AY49" s="54" t="s">
        <v>244</v>
      </c>
      <c r="AZ49" s="53" t="s">
        <v>243</v>
      </c>
      <c r="BA49" s="54" t="s">
        <v>244</v>
      </c>
      <c r="BB49" s="53" t="s">
        <v>243</v>
      </c>
      <c r="BC49" s="54" t="s">
        <v>244</v>
      </c>
      <c r="BD49" s="53" t="s">
        <v>243</v>
      </c>
      <c r="BE49" s="54" t="s">
        <v>244</v>
      </c>
      <c r="BF49" s="53" t="s">
        <v>243</v>
      </c>
      <c r="BG49" s="54" t="s">
        <v>244</v>
      </c>
      <c r="BH49" s="53" t="s">
        <v>243</v>
      </c>
      <c r="BI49" s="54" t="s">
        <v>244</v>
      </c>
      <c r="BJ49" s="53" t="s">
        <v>243</v>
      </c>
      <c r="BK49" s="54" t="s">
        <v>244</v>
      </c>
      <c r="BL49" s="105" t="s">
        <v>243</v>
      </c>
      <c r="BM49" s="106" t="s">
        <v>244</v>
      </c>
    </row>
    <row r="50" spans="1:65" x14ac:dyDescent="0.25">
      <c r="A50" s="92" t="s">
        <v>291</v>
      </c>
      <c r="B50" s="92">
        <v>9700</v>
      </c>
      <c r="C50" s="92">
        <v>17184</v>
      </c>
      <c r="D50" s="92">
        <v>36034</v>
      </c>
      <c r="E50" s="92">
        <v>69410</v>
      </c>
      <c r="F50" s="76"/>
      <c r="G50" s="76"/>
      <c r="H50" s="92">
        <v>141666</v>
      </c>
      <c r="I50" s="92">
        <v>196012</v>
      </c>
      <c r="J50" s="92">
        <v>84260.49</v>
      </c>
      <c r="K50" s="92">
        <v>153543</v>
      </c>
      <c r="L50" s="92">
        <v>11076</v>
      </c>
      <c r="M50" s="92">
        <v>20104</v>
      </c>
      <c r="N50" s="76"/>
      <c r="O50" s="76"/>
      <c r="P50" s="92">
        <v>4289.6499999999996</v>
      </c>
      <c r="Q50" s="92">
        <v>6248.21</v>
      </c>
      <c r="R50" s="92">
        <v>12001.47</v>
      </c>
      <c r="S50" s="92">
        <v>23524.69</v>
      </c>
      <c r="T50" s="92">
        <v>10892</v>
      </c>
      <c r="U50" s="92">
        <v>28229</v>
      </c>
      <c r="V50" s="92">
        <v>97466</v>
      </c>
      <c r="W50" s="92">
        <v>183690</v>
      </c>
      <c r="X50" s="92">
        <v>81842</v>
      </c>
      <c r="Y50" s="92">
        <v>178684</v>
      </c>
      <c r="Z50" s="92">
        <v>44354</v>
      </c>
      <c r="AA50" s="92">
        <v>97920</v>
      </c>
      <c r="AB50" s="92">
        <v>5558</v>
      </c>
      <c r="AC50" s="92">
        <v>10359</v>
      </c>
      <c r="AD50" s="92">
        <v>5227.58</v>
      </c>
      <c r="AE50" s="92">
        <v>12629.54</v>
      </c>
      <c r="AF50" s="92">
        <v>2886.18</v>
      </c>
      <c r="AG50" s="92">
        <v>4877.95</v>
      </c>
      <c r="AH50" s="92">
        <v>22672.86</v>
      </c>
      <c r="AI50" s="92">
        <v>43345.8</v>
      </c>
      <c r="AJ50" s="92">
        <v>66111.929999999993</v>
      </c>
      <c r="AK50" s="92">
        <v>122431.45</v>
      </c>
      <c r="AL50" s="92">
        <v>199604.44</v>
      </c>
      <c r="AM50" s="92">
        <v>332606.36</v>
      </c>
      <c r="AN50" s="92">
        <v>733</v>
      </c>
      <c r="AO50" s="92">
        <v>849</v>
      </c>
      <c r="AP50" s="92">
        <v>83</v>
      </c>
      <c r="AQ50" s="92">
        <v>242</v>
      </c>
      <c r="AR50" s="76">
        <v>19816</v>
      </c>
      <c r="AS50" s="76">
        <v>59301</v>
      </c>
      <c r="AT50" s="92">
        <v>10282.030000000001</v>
      </c>
      <c r="AU50" s="92">
        <v>19982.330000000002</v>
      </c>
      <c r="AV50" s="92">
        <v>45953</v>
      </c>
      <c r="AW50" s="92">
        <v>70158</v>
      </c>
      <c r="AX50" s="92">
        <v>274</v>
      </c>
      <c r="AY50" s="92">
        <v>532</v>
      </c>
      <c r="AZ50" s="92">
        <v>284444</v>
      </c>
      <c r="BA50" s="92">
        <v>500274</v>
      </c>
      <c r="BB50" s="92">
        <v>36061</v>
      </c>
      <c r="BC50" s="92">
        <v>62068</v>
      </c>
      <c r="BD50" s="92">
        <v>353217.16</v>
      </c>
      <c r="BE50" s="92">
        <v>785086.73</v>
      </c>
      <c r="BF50" s="92">
        <v>205802</v>
      </c>
      <c r="BG50" s="92">
        <v>351633</v>
      </c>
      <c r="BH50" s="92">
        <v>150318</v>
      </c>
      <c r="BI50" s="92">
        <v>304564</v>
      </c>
      <c r="BJ50" s="92">
        <v>6668</v>
      </c>
      <c r="BK50" s="92">
        <v>16552</v>
      </c>
      <c r="BL50" s="68">
        <f t="shared" ref="BL50:BL56" si="8">SUM(B50+D50+F50+H50+J50+L50+N50+P50+R50+T50+V50+X50+Z50+AB50+AD50+AF50+AH50+AJ50+AL50+AN50+AP50+AR50+AT50+AV50+AX50+AZ50+BB50+BD50+BF50+BH50+BJ50)</f>
        <v>1949293.7899999998</v>
      </c>
      <c r="BM50" s="68">
        <f t="shared" ref="BM50:BM56" si="9">SUM(C50+E50+G50+I50+K50+M50+O50+Q50+S50+U50+W50+Y50+AA50+AC50+AE50+AG50+AI50+AK50+AM50+AO50+AQ50+AS50+AU50+AW50+AY50+BA50+BC50+BE50+BG50+BI50+BK50)</f>
        <v>3672041.06</v>
      </c>
    </row>
    <row r="51" spans="1:65" x14ac:dyDescent="0.25">
      <c r="A51" s="92" t="s">
        <v>292</v>
      </c>
      <c r="B51" s="92"/>
      <c r="C51" s="92"/>
      <c r="D51" s="76"/>
      <c r="E51" s="76"/>
      <c r="F51" s="76"/>
      <c r="G51" s="76"/>
      <c r="H51" s="92"/>
      <c r="I51" s="92"/>
      <c r="J51" s="92">
        <v>358.75</v>
      </c>
      <c r="K51" s="92">
        <v>1827.4</v>
      </c>
      <c r="L51" s="92"/>
      <c r="M51" s="92"/>
      <c r="N51" s="76"/>
      <c r="O51" s="76"/>
      <c r="P51" s="92"/>
      <c r="Q51" s="92">
        <v>128.32</v>
      </c>
      <c r="R51" s="92"/>
      <c r="S51" s="92"/>
      <c r="T51" s="92"/>
      <c r="U51" s="92"/>
      <c r="V51" s="92"/>
      <c r="W51" s="92"/>
      <c r="X51" s="92">
        <v>2981</v>
      </c>
      <c r="Y51" s="92">
        <v>5999</v>
      </c>
      <c r="Z51" s="92">
        <v>932</v>
      </c>
      <c r="AA51" s="92">
        <v>932</v>
      </c>
      <c r="AB51" s="92"/>
      <c r="AC51" s="92"/>
      <c r="AD51" s="76"/>
      <c r="AE51" s="76"/>
      <c r="AF51" s="92"/>
      <c r="AG51" s="92"/>
      <c r="AH51" s="92"/>
      <c r="AI51" s="92"/>
      <c r="AJ51" s="92"/>
      <c r="AK51" s="92"/>
      <c r="AL51" s="92">
        <v>10129.08</v>
      </c>
      <c r="AM51" s="92">
        <v>10129.08</v>
      </c>
      <c r="AN51" s="92"/>
      <c r="AO51" s="92"/>
      <c r="AP51" s="92"/>
      <c r="AQ51" s="92"/>
      <c r="AR51" s="76"/>
      <c r="AS51" s="76"/>
      <c r="AT51" s="76"/>
      <c r="AU51" s="76"/>
      <c r="AV51" s="92">
        <v>2958</v>
      </c>
      <c r="AW51" s="92">
        <v>3736</v>
      </c>
      <c r="AX51" s="92"/>
      <c r="AY51" s="92"/>
      <c r="AZ51" s="92"/>
      <c r="BA51" s="92"/>
      <c r="BB51" s="92"/>
      <c r="BC51" s="92"/>
      <c r="BD51" s="92">
        <v>1983.61</v>
      </c>
      <c r="BE51" s="92">
        <v>4031.33</v>
      </c>
      <c r="BF51" s="92">
        <v>8718</v>
      </c>
      <c r="BG51" s="92">
        <v>8718</v>
      </c>
      <c r="BH51" s="92">
        <v>0</v>
      </c>
      <c r="BI51" s="92">
        <v>0</v>
      </c>
      <c r="BJ51" s="92"/>
      <c r="BK51" s="92"/>
      <c r="BL51" s="68">
        <f t="shared" si="8"/>
        <v>28060.440000000002</v>
      </c>
      <c r="BM51" s="68">
        <f t="shared" si="9"/>
        <v>35501.130000000005</v>
      </c>
    </row>
    <row r="52" spans="1:65" x14ac:dyDescent="0.25">
      <c r="A52" s="92" t="s">
        <v>293</v>
      </c>
      <c r="B52" s="92">
        <v>485</v>
      </c>
      <c r="C52" s="92">
        <v>859</v>
      </c>
      <c r="D52" s="92">
        <v>8726</v>
      </c>
      <c r="E52" s="92">
        <v>16955</v>
      </c>
      <c r="F52" s="76"/>
      <c r="G52" s="76"/>
      <c r="H52" s="92">
        <v>-88022</v>
      </c>
      <c r="I52" s="92">
        <v>-92437</v>
      </c>
      <c r="J52" s="92">
        <v>17792.36</v>
      </c>
      <c r="K52" s="92">
        <v>33503.03</v>
      </c>
      <c r="L52" s="92">
        <v>3140</v>
      </c>
      <c r="M52" s="92">
        <v>4656</v>
      </c>
      <c r="N52" s="76"/>
      <c r="O52" s="76"/>
      <c r="P52" s="92">
        <v>595.67999999999995</v>
      </c>
      <c r="Q52" s="92">
        <v>835.27</v>
      </c>
      <c r="R52" s="92">
        <v>3541.85</v>
      </c>
      <c r="S52" s="92">
        <v>5901.37</v>
      </c>
      <c r="T52" s="92">
        <v>523</v>
      </c>
      <c r="U52" s="92">
        <v>1501</v>
      </c>
      <c r="V52" s="92">
        <v>-35467</v>
      </c>
      <c r="W52" s="92">
        <v>-63686</v>
      </c>
      <c r="X52" s="92">
        <v>12313</v>
      </c>
      <c r="Y52" s="92">
        <v>27410</v>
      </c>
      <c r="Z52" s="92">
        <v>2236</v>
      </c>
      <c r="AA52" s="92">
        <v>9721</v>
      </c>
      <c r="AB52" s="92">
        <v>763</v>
      </c>
      <c r="AC52" s="92">
        <v>1348</v>
      </c>
      <c r="AD52" s="92">
        <v>294.97000000000003</v>
      </c>
      <c r="AE52" s="92">
        <v>706.48</v>
      </c>
      <c r="AF52" s="92">
        <v>-241.27</v>
      </c>
      <c r="AG52" s="92">
        <v>-399.13</v>
      </c>
      <c r="AH52" s="92">
        <v>1166.22</v>
      </c>
      <c r="AI52" s="92">
        <v>2229.63</v>
      </c>
      <c r="AJ52" s="92">
        <v>15148.92</v>
      </c>
      <c r="AK52" s="92">
        <v>28827.919999999998</v>
      </c>
      <c r="AL52" s="92">
        <v>10069.129999999999</v>
      </c>
      <c r="AM52" s="92">
        <v>22639.09</v>
      </c>
      <c r="AN52" s="92">
        <v>-30</v>
      </c>
      <c r="AO52" s="92">
        <v>-29</v>
      </c>
      <c r="AP52" s="92">
        <v>4</v>
      </c>
      <c r="AQ52" s="92">
        <v>12</v>
      </c>
      <c r="AR52" s="76">
        <v>2273</v>
      </c>
      <c r="AS52" s="76">
        <v>8030</v>
      </c>
      <c r="AT52" s="76">
        <v>-1614.8</v>
      </c>
      <c r="AU52" s="76">
        <v>-3087.67</v>
      </c>
      <c r="AV52" s="92">
        <v>12332</v>
      </c>
      <c r="AW52" s="92">
        <v>13542</v>
      </c>
      <c r="AX52" s="92">
        <v>19</v>
      </c>
      <c r="AY52" s="92">
        <v>36</v>
      </c>
      <c r="AZ52" s="92">
        <v>14514</v>
      </c>
      <c r="BA52" s="92">
        <v>26141</v>
      </c>
      <c r="BB52" s="92">
        <v>5068</v>
      </c>
      <c r="BC52" s="92">
        <v>8169</v>
      </c>
      <c r="BD52" s="92">
        <v>47641.98</v>
      </c>
      <c r="BE52" s="92">
        <v>99566.74</v>
      </c>
      <c r="BF52" s="92">
        <v>7727</v>
      </c>
      <c r="BG52" s="92">
        <v>14947</v>
      </c>
      <c r="BH52" s="92">
        <v>17808</v>
      </c>
      <c r="BI52" s="92">
        <v>25520</v>
      </c>
      <c r="BJ52" s="92">
        <v>346</v>
      </c>
      <c r="BK52" s="92">
        <v>844</v>
      </c>
      <c r="BL52" s="68">
        <f t="shared" si="8"/>
        <v>59153.039999999994</v>
      </c>
      <c r="BM52" s="68">
        <f t="shared" si="9"/>
        <v>194261.73</v>
      </c>
    </row>
    <row r="53" spans="1:65" s="7" customFormat="1" x14ac:dyDescent="0.25">
      <c r="A53" s="10" t="s">
        <v>294</v>
      </c>
      <c r="B53" s="10">
        <v>9215</v>
      </c>
      <c r="C53" s="10">
        <v>16325</v>
      </c>
      <c r="D53" s="10">
        <v>27308</v>
      </c>
      <c r="E53" s="10">
        <v>52455</v>
      </c>
      <c r="F53" s="10"/>
      <c r="G53" s="10"/>
      <c r="H53" s="10">
        <v>53644</v>
      </c>
      <c r="I53" s="10">
        <v>103574</v>
      </c>
      <c r="J53" s="10"/>
      <c r="K53" s="10"/>
      <c r="L53" s="10">
        <v>7936</v>
      </c>
      <c r="M53" s="10">
        <v>15448</v>
      </c>
      <c r="N53" s="10"/>
      <c r="O53" s="10"/>
      <c r="P53" s="10">
        <v>3693.97</v>
      </c>
      <c r="Q53" s="10">
        <v>5541.26</v>
      </c>
      <c r="R53" s="10">
        <v>8459.61</v>
      </c>
      <c r="S53" s="10">
        <v>17623.32</v>
      </c>
      <c r="T53" s="10">
        <v>10369</v>
      </c>
      <c r="U53" s="10">
        <v>26728</v>
      </c>
      <c r="V53" s="10">
        <v>61999</v>
      </c>
      <c r="W53" s="10">
        <v>120004</v>
      </c>
      <c r="X53" s="10">
        <v>72510</v>
      </c>
      <c r="Y53" s="10">
        <v>157273</v>
      </c>
      <c r="Z53" s="10">
        <v>43050</v>
      </c>
      <c r="AA53" s="10">
        <v>89131</v>
      </c>
      <c r="AB53" s="10">
        <v>4795</v>
      </c>
      <c r="AC53" s="10">
        <v>9010</v>
      </c>
      <c r="AD53" s="10">
        <v>4932.62</v>
      </c>
      <c r="AE53" s="10">
        <v>11923.06</v>
      </c>
      <c r="AF53" s="10">
        <v>2644.91</v>
      </c>
      <c r="AG53" s="10">
        <v>4478.82</v>
      </c>
      <c r="AH53" s="10">
        <v>21506.639999999999</v>
      </c>
      <c r="AI53" s="10">
        <v>41116.17</v>
      </c>
      <c r="AJ53" s="10">
        <v>50963.01</v>
      </c>
      <c r="AK53" s="10">
        <v>93603.53</v>
      </c>
      <c r="AL53" s="10">
        <v>199664.39</v>
      </c>
      <c r="AM53" s="10">
        <v>320096.34999999998</v>
      </c>
      <c r="AN53" s="10">
        <v>703</v>
      </c>
      <c r="AO53" s="10">
        <v>820</v>
      </c>
      <c r="AP53" s="10">
        <v>79</v>
      </c>
      <c r="AQ53" s="10">
        <v>230</v>
      </c>
      <c r="AR53" s="10">
        <v>17543</v>
      </c>
      <c r="AS53" s="10">
        <v>51271</v>
      </c>
      <c r="AT53" s="10"/>
      <c r="AU53" s="10"/>
      <c r="AV53" s="10">
        <v>36579</v>
      </c>
      <c r="AW53" s="10">
        <v>60352</v>
      </c>
      <c r="AX53" s="10">
        <v>255</v>
      </c>
      <c r="AY53" s="10">
        <v>496</v>
      </c>
      <c r="AZ53" s="10">
        <v>269930</v>
      </c>
      <c r="BA53" s="10">
        <v>474133</v>
      </c>
      <c r="BB53" s="10">
        <v>30993</v>
      </c>
      <c r="BC53" s="10">
        <v>53899</v>
      </c>
      <c r="BD53" s="10">
        <v>307558.78000000003</v>
      </c>
      <c r="BE53" s="10">
        <v>689551.31</v>
      </c>
      <c r="BF53" s="10">
        <v>206793</v>
      </c>
      <c r="BG53" s="10">
        <v>345404</v>
      </c>
      <c r="BH53" s="10">
        <v>132511</v>
      </c>
      <c r="BI53" s="10">
        <v>279044</v>
      </c>
      <c r="BJ53" s="10">
        <v>6321</v>
      </c>
      <c r="BK53" s="10">
        <v>15708</v>
      </c>
      <c r="BL53" s="63">
        <f t="shared" si="8"/>
        <v>1591956.9300000002</v>
      </c>
      <c r="BM53" s="63">
        <f t="shared" si="9"/>
        <v>3055238.8200000003</v>
      </c>
    </row>
    <row r="54" spans="1:65" x14ac:dyDescent="0.25">
      <c r="A54" s="92" t="s">
        <v>295</v>
      </c>
      <c r="B54" s="92">
        <v>8179</v>
      </c>
      <c r="C54" s="92">
        <v>4851</v>
      </c>
      <c r="D54" s="92">
        <v>46306</v>
      </c>
      <c r="E54" s="92">
        <v>43384</v>
      </c>
      <c r="F54" s="92"/>
      <c r="G54" s="92"/>
      <c r="H54" s="92">
        <v>89448</v>
      </c>
      <c r="I54" s="92">
        <v>83302</v>
      </c>
      <c r="J54" s="92"/>
      <c r="K54" s="92"/>
      <c r="L54" s="92"/>
      <c r="M54" s="92">
        <v>16914</v>
      </c>
      <c r="N54" s="92"/>
      <c r="O54" s="92"/>
      <c r="P54" s="92">
        <v>3717.85</v>
      </c>
      <c r="Q54" s="92">
        <v>4009.93</v>
      </c>
      <c r="R54" s="92">
        <v>15909.4</v>
      </c>
      <c r="S54" s="92">
        <v>14654.08</v>
      </c>
      <c r="T54" s="92">
        <v>16509</v>
      </c>
      <c r="U54" s="92">
        <v>5179</v>
      </c>
      <c r="V54" s="92">
        <v>158628</v>
      </c>
      <c r="W54" s="92">
        <v>164773</v>
      </c>
      <c r="X54" s="92">
        <v>172188</v>
      </c>
      <c r="Y54" s="92">
        <v>139523</v>
      </c>
      <c r="Z54" s="92"/>
      <c r="AA54" s="92">
        <v>42593</v>
      </c>
      <c r="AB54" s="92">
        <v>12065</v>
      </c>
      <c r="AC54" s="92">
        <v>11987</v>
      </c>
      <c r="AD54" s="92"/>
      <c r="AE54" s="92"/>
      <c r="AF54" s="92">
        <v>4563.43</v>
      </c>
      <c r="AG54" s="92">
        <v>4512.2299999999996</v>
      </c>
      <c r="AH54" s="92">
        <v>38456.78</v>
      </c>
      <c r="AI54" s="92">
        <v>35350.019999999997</v>
      </c>
      <c r="AJ54" s="92">
        <v>73660.92</v>
      </c>
      <c r="AK54" s="92">
        <v>63826.239999999998</v>
      </c>
      <c r="AL54" s="92">
        <v>272569.28000000003</v>
      </c>
      <c r="AM54" s="92">
        <v>258965.72</v>
      </c>
      <c r="AN54" s="92">
        <v>3637</v>
      </c>
      <c r="AO54" s="92">
        <v>3981</v>
      </c>
      <c r="AP54" s="92">
        <v>195</v>
      </c>
      <c r="AQ54" s="92">
        <v>709</v>
      </c>
      <c r="AR54" s="92">
        <v>38035</v>
      </c>
      <c r="AS54" s="92">
        <v>21415</v>
      </c>
      <c r="AT54" s="92"/>
      <c r="AU54" s="92"/>
      <c r="AV54" s="92">
        <v>65991</v>
      </c>
      <c r="AW54" s="92">
        <v>68193</v>
      </c>
      <c r="AX54" s="92">
        <v>498</v>
      </c>
      <c r="AY54" s="92">
        <v>396</v>
      </c>
      <c r="AZ54" s="92">
        <v>488692</v>
      </c>
      <c r="BA54" s="92">
        <v>506830</v>
      </c>
      <c r="BB54" s="92">
        <v>54901</v>
      </c>
      <c r="BC54" s="92">
        <v>53906</v>
      </c>
      <c r="BD54" s="92"/>
      <c r="BE54" s="92"/>
      <c r="BF54" s="92">
        <v>0</v>
      </c>
      <c r="BG54" s="92"/>
      <c r="BH54" s="92">
        <v>291143</v>
      </c>
      <c r="BI54" s="92">
        <v>292241</v>
      </c>
      <c r="BJ54" s="92">
        <v>13195</v>
      </c>
      <c r="BK54" s="92">
        <v>9756</v>
      </c>
      <c r="BL54" s="68">
        <f t="shared" si="8"/>
        <v>1868487.6600000001</v>
      </c>
      <c r="BM54" s="68">
        <f t="shared" si="9"/>
        <v>1851251.22</v>
      </c>
    </row>
    <row r="55" spans="1:65" x14ac:dyDescent="0.25">
      <c r="A55" s="2" t="s">
        <v>296</v>
      </c>
      <c r="B55" s="92">
        <v>10951</v>
      </c>
      <c r="C55" s="92">
        <v>10951</v>
      </c>
      <c r="D55" s="92">
        <v>50588</v>
      </c>
      <c r="E55" s="92">
        <v>50588</v>
      </c>
      <c r="F55" s="92"/>
      <c r="G55" s="92"/>
      <c r="H55" s="92">
        <v>96135</v>
      </c>
      <c r="I55" s="92">
        <v>96135</v>
      </c>
      <c r="J55" s="92"/>
      <c r="K55" s="92"/>
      <c r="L55" s="92">
        <v>406</v>
      </c>
      <c r="M55" s="92">
        <v>16426</v>
      </c>
      <c r="N55" s="92"/>
      <c r="O55" s="92"/>
      <c r="P55" s="92">
        <v>4890.47</v>
      </c>
      <c r="Q55" s="92">
        <v>4890.47</v>
      </c>
      <c r="R55" s="92">
        <v>15769.38</v>
      </c>
      <c r="S55" s="92">
        <v>15769.38</v>
      </c>
      <c r="T55" s="92">
        <v>19442</v>
      </c>
      <c r="U55" s="92">
        <v>19442</v>
      </c>
      <c r="V55" s="92">
        <v>-155629</v>
      </c>
      <c r="W55" s="92">
        <v>-155629</v>
      </c>
      <c r="X55" s="92">
        <v>176192</v>
      </c>
      <c r="Y55" s="92">
        <v>176192</v>
      </c>
      <c r="Z55" s="92">
        <v>7028</v>
      </c>
      <c r="AA55" s="92">
        <v>59311</v>
      </c>
      <c r="AB55" s="92">
        <v>12913</v>
      </c>
      <c r="AC55" s="92">
        <v>12913</v>
      </c>
      <c r="AD55" s="92"/>
      <c r="AE55" s="92"/>
      <c r="AF55" s="92">
        <v>-5142.59</v>
      </c>
      <c r="AG55" s="92">
        <v>-5142.59</v>
      </c>
      <c r="AH55" s="92">
        <v>40508.449999999997</v>
      </c>
      <c r="AI55" s="92">
        <v>40508.449999999997</v>
      </c>
      <c r="AJ55" s="92">
        <v>84020.73</v>
      </c>
      <c r="AK55" s="92">
        <v>84020.73</v>
      </c>
      <c r="AL55" s="92">
        <v>281167.02</v>
      </c>
      <c r="AM55" s="92">
        <v>281167.02</v>
      </c>
      <c r="AN55" s="92">
        <v>-3573</v>
      </c>
      <c r="AO55" s="92">
        <v>-3573</v>
      </c>
      <c r="AP55" s="92">
        <v>198</v>
      </c>
      <c r="AQ55" s="92">
        <v>198</v>
      </c>
      <c r="AR55" s="92">
        <v>38280</v>
      </c>
      <c r="AS55" s="92">
        <v>38280</v>
      </c>
      <c r="AT55" s="92"/>
      <c r="AU55" s="92"/>
      <c r="AV55" s="92">
        <v>71959</v>
      </c>
      <c r="AW55" s="92">
        <v>71959</v>
      </c>
      <c r="AX55" s="92">
        <v>557</v>
      </c>
      <c r="AY55" s="92">
        <v>557</v>
      </c>
      <c r="AZ55" s="92">
        <v>518605</v>
      </c>
      <c r="BA55" s="92">
        <v>518605</v>
      </c>
      <c r="BB55" s="92">
        <v>62668</v>
      </c>
      <c r="BC55" s="92">
        <v>62668</v>
      </c>
      <c r="BD55" s="92"/>
      <c r="BE55" s="92"/>
      <c r="BF55" s="92">
        <v>35208</v>
      </c>
      <c r="BG55" s="92">
        <v>53284</v>
      </c>
      <c r="BH55" s="92">
        <v>296522</v>
      </c>
      <c r="BI55" s="92">
        <v>296522</v>
      </c>
      <c r="BJ55" s="92">
        <v>-13408</v>
      </c>
      <c r="BK55" s="92">
        <v>-13408</v>
      </c>
      <c r="BL55" s="68">
        <f t="shared" si="8"/>
        <v>1646255.46</v>
      </c>
      <c r="BM55" s="68">
        <f t="shared" si="9"/>
        <v>1732634.46</v>
      </c>
    </row>
    <row r="56" spans="1:65" s="7" customFormat="1" x14ac:dyDescent="0.25">
      <c r="A56" s="10" t="s">
        <v>192</v>
      </c>
      <c r="B56" s="10">
        <v>6443</v>
      </c>
      <c r="C56" s="10">
        <v>10225</v>
      </c>
      <c r="D56" s="10">
        <v>23025</v>
      </c>
      <c r="E56" s="10">
        <v>45251</v>
      </c>
      <c r="F56" s="10"/>
      <c r="G56" s="10"/>
      <c r="H56" s="10">
        <v>46957</v>
      </c>
      <c r="I56" s="10">
        <v>90742</v>
      </c>
      <c r="J56" s="10">
        <v>55477.440000000002</v>
      </c>
      <c r="K56" s="10">
        <v>99091.72</v>
      </c>
      <c r="L56" s="10">
        <v>7530</v>
      </c>
      <c r="M56" s="10">
        <v>15936</v>
      </c>
      <c r="N56" s="10"/>
      <c r="O56" s="10"/>
      <c r="P56" s="10">
        <v>2521.35</v>
      </c>
      <c r="Q56" s="10">
        <v>4660.72</v>
      </c>
      <c r="R56" s="10">
        <v>8599.6299999999992</v>
      </c>
      <c r="S56" s="10">
        <v>16508.03</v>
      </c>
      <c r="T56" s="10">
        <v>7437</v>
      </c>
      <c r="U56" s="10">
        <v>12465</v>
      </c>
      <c r="V56" s="10">
        <v>64998</v>
      </c>
      <c r="W56" s="10">
        <v>129149</v>
      </c>
      <c r="X56" s="10">
        <v>68506</v>
      </c>
      <c r="Y56" s="10">
        <v>134292</v>
      </c>
      <c r="Z56" s="10">
        <v>36022</v>
      </c>
      <c r="AA56" s="10">
        <v>72413</v>
      </c>
      <c r="AB56" s="10">
        <v>3948</v>
      </c>
      <c r="AC56" s="10">
        <v>8084</v>
      </c>
      <c r="AD56" s="10">
        <v>5400.31</v>
      </c>
      <c r="AE56" s="10">
        <v>10343.209999999999</v>
      </c>
      <c r="AF56" s="10">
        <v>2065.75</v>
      </c>
      <c r="AG56" s="10">
        <v>3848.46</v>
      </c>
      <c r="AH56" s="10">
        <v>19454.96</v>
      </c>
      <c r="AI56" s="10">
        <v>35957.74</v>
      </c>
      <c r="AJ56" s="10">
        <v>40603.18</v>
      </c>
      <c r="AK56" s="10">
        <v>73409.03</v>
      </c>
      <c r="AL56" s="10">
        <v>191066.66</v>
      </c>
      <c r="AM56" s="10">
        <v>297895.06</v>
      </c>
      <c r="AN56" s="10">
        <v>767</v>
      </c>
      <c r="AO56" s="10">
        <v>1227</v>
      </c>
      <c r="AP56" s="10">
        <v>76</v>
      </c>
      <c r="AQ56" s="10">
        <v>741</v>
      </c>
      <c r="AR56" s="10">
        <v>17297</v>
      </c>
      <c r="AS56" s="10">
        <v>34406</v>
      </c>
      <c r="AT56" s="10">
        <v>7832.41</v>
      </c>
      <c r="AU56" s="10">
        <v>14921</v>
      </c>
      <c r="AV56" s="10">
        <v>30611</v>
      </c>
      <c r="AW56" s="10">
        <v>56586</v>
      </c>
      <c r="AX56" s="10">
        <v>197</v>
      </c>
      <c r="AY56" s="10">
        <v>335</v>
      </c>
      <c r="AZ56" s="10">
        <v>240017</v>
      </c>
      <c r="BA56" s="10">
        <v>462358</v>
      </c>
      <c r="BB56" s="10">
        <v>23226</v>
      </c>
      <c r="BC56" s="10">
        <v>45137</v>
      </c>
      <c r="BD56" s="10">
        <v>309556.13</v>
      </c>
      <c r="BE56" s="10">
        <v>578091.48</v>
      </c>
      <c r="BF56" s="10">
        <v>171585</v>
      </c>
      <c r="BG56" s="10">
        <v>292119</v>
      </c>
      <c r="BH56" s="10">
        <v>127132</v>
      </c>
      <c r="BI56" s="10">
        <v>274763</v>
      </c>
      <c r="BJ56" s="10">
        <v>6109</v>
      </c>
      <c r="BK56" s="10">
        <v>12057</v>
      </c>
      <c r="BL56" s="63">
        <f t="shared" si="8"/>
        <v>1524460.82</v>
      </c>
      <c r="BM56" s="63">
        <f t="shared" si="9"/>
        <v>2833012.45</v>
      </c>
    </row>
    <row r="58" spans="1:65" x14ac:dyDescent="0.25">
      <c r="A58" s="23" t="s">
        <v>187</v>
      </c>
    </row>
    <row r="59" spans="1:65" x14ac:dyDescent="0.25">
      <c r="A59" s="1" t="s">
        <v>0</v>
      </c>
      <c r="B59" s="147" t="s">
        <v>1</v>
      </c>
      <c r="C59" s="148"/>
      <c r="D59" s="147" t="s">
        <v>233</v>
      </c>
      <c r="E59" s="148"/>
      <c r="F59" s="147" t="s">
        <v>2</v>
      </c>
      <c r="G59" s="148"/>
      <c r="H59" s="147" t="s">
        <v>3</v>
      </c>
      <c r="I59" s="148"/>
      <c r="J59" s="147" t="s">
        <v>242</v>
      </c>
      <c r="K59" s="148"/>
      <c r="L59" s="147" t="s">
        <v>234</v>
      </c>
      <c r="M59" s="148"/>
      <c r="N59" s="147" t="s">
        <v>5</v>
      </c>
      <c r="O59" s="148"/>
      <c r="P59" s="147" t="s">
        <v>4</v>
      </c>
      <c r="Q59" s="148"/>
      <c r="R59" s="147" t="s">
        <v>6</v>
      </c>
      <c r="S59" s="148"/>
      <c r="T59" s="147" t="s">
        <v>254</v>
      </c>
      <c r="U59" s="148"/>
      <c r="V59" s="147" t="s">
        <v>7</v>
      </c>
      <c r="W59" s="148"/>
      <c r="X59" s="147" t="s">
        <v>8</v>
      </c>
      <c r="Y59" s="148"/>
      <c r="Z59" s="147" t="s">
        <v>9</v>
      </c>
      <c r="AA59" s="148"/>
      <c r="AB59" s="147" t="s">
        <v>241</v>
      </c>
      <c r="AC59" s="148"/>
      <c r="AD59" s="147" t="s">
        <v>10</v>
      </c>
      <c r="AE59" s="148"/>
      <c r="AF59" s="147" t="s">
        <v>11</v>
      </c>
      <c r="AG59" s="148"/>
      <c r="AH59" s="147" t="s">
        <v>235</v>
      </c>
      <c r="AI59" s="148"/>
      <c r="AJ59" s="147" t="s">
        <v>253</v>
      </c>
      <c r="AK59" s="148"/>
      <c r="AL59" s="147" t="s">
        <v>12</v>
      </c>
      <c r="AM59" s="148"/>
      <c r="AN59" s="147" t="s">
        <v>236</v>
      </c>
      <c r="AO59" s="148"/>
      <c r="AP59" s="147" t="s">
        <v>237</v>
      </c>
      <c r="AQ59" s="148"/>
      <c r="AR59" s="147" t="s">
        <v>240</v>
      </c>
      <c r="AS59" s="148"/>
      <c r="AT59" s="147" t="s">
        <v>13</v>
      </c>
      <c r="AU59" s="148"/>
      <c r="AV59" s="147" t="s">
        <v>14</v>
      </c>
      <c r="AW59" s="148"/>
      <c r="AX59" s="147" t="s">
        <v>15</v>
      </c>
      <c r="AY59" s="148"/>
      <c r="AZ59" s="147" t="s">
        <v>16</v>
      </c>
      <c r="BA59" s="148"/>
      <c r="BB59" s="147" t="s">
        <v>17</v>
      </c>
      <c r="BC59" s="148"/>
      <c r="BD59" s="147" t="s">
        <v>238</v>
      </c>
      <c r="BE59" s="148"/>
      <c r="BF59" s="147" t="s">
        <v>239</v>
      </c>
      <c r="BG59" s="148"/>
      <c r="BH59" s="147" t="s">
        <v>18</v>
      </c>
      <c r="BI59" s="148"/>
      <c r="BJ59" s="147" t="s">
        <v>19</v>
      </c>
      <c r="BK59" s="148"/>
      <c r="BL59" s="149" t="s">
        <v>20</v>
      </c>
      <c r="BM59" s="150"/>
    </row>
    <row r="60" spans="1:65" ht="30" x14ac:dyDescent="0.25">
      <c r="A60" s="1"/>
      <c r="B60" s="53" t="s">
        <v>243</v>
      </c>
      <c r="C60" s="54" t="s">
        <v>244</v>
      </c>
      <c r="D60" s="53" t="s">
        <v>243</v>
      </c>
      <c r="E60" s="54" t="s">
        <v>244</v>
      </c>
      <c r="F60" s="53" t="s">
        <v>243</v>
      </c>
      <c r="G60" s="54" t="s">
        <v>244</v>
      </c>
      <c r="H60" s="53" t="s">
        <v>243</v>
      </c>
      <c r="I60" s="54" t="s">
        <v>244</v>
      </c>
      <c r="J60" s="53" t="s">
        <v>243</v>
      </c>
      <c r="K60" s="54" t="s">
        <v>244</v>
      </c>
      <c r="L60" s="53" t="s">
        <v>243</v>
      </c>
      <c r="M60" s="54" t="s">
        <v>244</v>
      </c>
      <c r="N60" s="53" t="s">
        <v>243</v>
      </c>
      <c r="O60" s="54" t="s">
        <v>244</v>
      </c>
      <c r="P60" s="53" t="s">
        <v>243</v>
      </c>
      <c r="Q60" s="54" t="s">
        <v>244</v>
      </c>
      <c r="R60" s="53" t="s">
        <v>243</v>
      </c>
      <c r="S60" s="54" t="s">
        <v>244</v>
      </c>
      <c r="T60" s="53" t="s">
        <v>243</v>
      </c>
      <c r="U60" s="54" t="s">
        <v>244</v>
      </c>
      <c r="V60" s="53" t="s">
        <v>243</v>
      </c>
      <c r="W60" s="54" t="s">
        <v>244</v>
      </c>
      <c r="X60" s="53" t="s">
        <v>243</v>
      </c>
      <c r="Y60" s="54" t="s">
        <v>244</v>
      </c>
      <c r="Z60" s="53" t="s">
        <v>243</v>
      </c>
      <c r="AA60" s="54" t="s">
        <v>244</v>
      </c>
      <c r="AB60" s="53" t="s">
        <v>243</v>
      </c>
      <c r="AC60" s="54" t="s">
        <v>244</v>
      </c>
      <c r="AD60" s="53" t="s">
        <v>243</v>
      </c>
      <c r="AE60" s="54" t="s">
        <v>244</v>
      </c>
      <c r="AF60" s="53" t="s">
        <v>243</v>
      </c>
      <c r="AG60" s="54" t="s">
        <v>244</v>
      </c>
      <c r="AH60" s="53" t="s">
        <v>243</v>
      </c>
      <c r="AI60" s="54" t="s">
        <v>244</v>
      </c>
      <c r="AJ60" s="53" t="s">
        <v>243</v>
      </c>
      <c r="AK60" s="54" t="s">
        <v>244</v>
      </c>
      <c r="AL60" s="53" t="s">
        <v>243</v>
      </c>
      <c r="AM60" s="54" t="s">
        <v>244</v>
      </c>
      <c r="AN60" s="53" t="s">
        <v>243</v>
      </c>
      <c r="AO60" s="54" t="s">
        <v>244</v>
      </c>
      <c r="AP60" s="53" t="s">
        <v>243</v>
      </c>
      <c r="AQ60" s="54" t="s">
        <v>244</v>
      </c>
      <c r="AR60" s="53" t="s">
        <v>243</v>
      </c>
      <c r="AS60" s="54" t="s">
        <v>244</v>
      </c>
      <c r="AT60" s="53" t="s">
        <v>243</v>
      </c>
      <c r="AU60" s="54" t="s">
        <v>244</v>
      </c>
      <c r="AV60" s="53" t="s">
        <v>243</v>
      </c>
      <c r="AW60" s="54" t="s">
        <v>244</v>
      </c>
      <c r="AX60" s="53" t="s">
        <v>243</v>
      </c>
      <c r="AY60" s="54" t="s">
        <v>244</v>
      </c>
      <c r="AZ60" s="53" t="s">
        <v>243</v>
      </c>
      <c r="BA60" s="54" t="s">
        <v>244</v>
      </c>
      <c r="BB60" s="53" t="s">
        <v>243</v>
      </c>
      <c r="BC60" s="54" t="s">
        <v>244</v>
      </c>
      <c r="BD60" s="53" t="s">
        <v>243</v>
      </c>
      <c r="BE60" s="54" t="s">
        <v>244</v>
      </c>
      <c r="BF60" s="53" t="s">
        <v>243</v>
      </c>
      <c r="BG60" s="54" t="s">
        <v>244</v>
      </c>
      <c r="BH60" s="53" t="s">
        <v>243</v>
      </c>
      <c r="BI60" s="54" t="s">
        <v>244</v>
      </c>
      <c r="BJ60" s="53" t="s">
        <v>243</v>
      </c>
      <c r="BK60" s="54" t="s">
        <v>244</v>
      </c>
      <c r="BL60" s="105" t="s">
        <v>243</v>
      </c>
      <c r="BM60" s="106" t="s">
        <v>244</v>
      </c>
    </row>
    <row r="61" spans="1:65" x14ac:dyDescent="0.25">
      <c r="A61" s="92" t="s">
        <v>291</v>
      </c>
      <c r="B61" s="92">
        <v>154</v>
      </c>
      <c r="C61" s="92">
        <v>343</v>
      </c>
      <c r="D61" s="92">
        <v>3581</v>
      </c>
      <c r="E61" s="92">
        <v>6957</v>
      </c>
      <c r="F61" s="76"/>
      <c r="G61" s="76"/>
      <c r="H61" s="92">
        <v>5079</v>
      </c>
      <c r="I61" s="92">
        <v>9796</v>
      </c>
      <c r="J61" s="92">
        <v>9182.18</v>
      </c>
      <c r="K61" s="92">
        <v>14254.64</v>
      </c>
      <c r="L61" s="92">
        <v>6818</v>
      </c>
      <c r="M61" s="92">
        <v>11340</v>
      </c>
      <c r="N61" s="76"/>
      <c r="O61" s="76"/>
      <c r="P61" s="92">
        <v>71.84</v>
      </c>
      <c r="Q61" s="92">
        <v>324.94</v>
      </c>
      <c r="R61" s="92">
        <v>2484.7800000000002</v>
      </c>
      <c r="S61" s="92">
        <v>4184.58</v>
      </c>
      <c r="T61" s="92">
        <v>15653</v>
      </c>
      <c r="U61" s="92">
        <v>16354</v>
      </c>
      <c r="V61" s="92">
        <v>14964</v>
      </c>
      <c r="W61" s="92">
        <v>29083</v>
      </c>
      <c r="X61" s="92">
        <v>9131</v>
      </c>
      <c r="Y61" s="92">
        <v>18924</v>
      </c>
      <c r="Z61" s="92">
        <v>2861</v>
      </c>
      <c r="AA61" s="92">
        <v>5772</v>
      </c>
      <c r="AB61" s="92">
        <v>1001</v>
      </c>
      <c r="AC61" s="92">
        <v>1613</v>
      </c>
      <c r="AD61" s="92">
        <v>500.89</v>
      </c>
      <c r="AE61" s="92">
        <v>1148.52</v>
      </c>
      <c r="AF61" s="92">
        <v>93.77</v>
      </c>
      <c r="AG61" s="92">
        <v>252.36</v>
      </c>
      <c r="AH61" s="92">
        <v>290.47000000000003</v>
      </c>
      <c r="AI61" s="92">
        <v>630.20000000000005</v>
      </c>
      <c r="AJ61" s="92">
        <v>306.98</v>
      </c>
      <c r="AK61" s="92">
        <v>2465.36</v>
      </c>
      <c r="AL61" s="92">
        <v>4352.33</v>
      </c>
      <c r="AM61" s="92">
        <v>14795.36</v>
      </c>
      <c r="AN61" s="92">
        <v>187</v>
      </c>
      <c r="AO61" s="92">
        <v>204</v>
      </c>
      <c r="AP61" s="92">
        <v>5</v>
      </c>
      <c r="AQ61" s="92">
        <v>13</v>
      </c>
      <c r="AR61" s="76">
        <v>2069</v>
      </c>
      <c r="AS61" s="76">
        <v>4545</v>
      </c>
      <c r="AT61" s="92">
        <v>1187.79</v>
      </c>
      <c r="AU61" s="92">
        <v>2504.09</v>
      </c>
      <c r="AV61" s="92">
        <v>22717</v>
      </c>
      <c r="AW61" s="92">
        <v>32654</v>
      </c>
      <c r="AX61" s="92">
        <v>563</v>
      </c>
      <c r="AY61" s="92">
        <v>923</v>
      </c>
      <c r="AZ61" s="92">
        <v>4023</v>
      </c>
      <c r="BA61" s="76">
        <v>6704</v>
      </c>
      <c r="BB61" s="92">
        <v>3101</v>
      </c>
      <c r="BC61" s="92">
        <v>6655</v>
      </c>
      <c r="BD61" s="92">
        <v>39289.43</v>
      </c>
      <c r="BE61" s="92">
        <v>97144.59</v>
      </c>
      <c r="BF61" s="92">
        <v>9097</v>
      </c>
      <c r="BG61" s="92">
        <v>16269</v>
      </c>
      <c r="BH61" s="92">
        <v>15375</v>
      </c>
      <c r="BI61" s="92">
        <v>23809</v>
      </c>
      <c r="BJ61" s="92">
        <v>12178</v>
      </c>
      <c r="BK61" s="92">
        <v>20673</v>
      </c>
      <c r="BL61" s="68">
        <f t="shared" ref="BL61:BL67" si="10">SUM(B61+D61+F61+H61+J61+L61+N61+P61+R61+T61+V61+X61+Z61+AB61+AD61+AF61+AH61+AJ61+AL61+AN61+AP61+AR61+AT61+AV61+AX61+AZ61+BB61+BD61+BF61+BH61+BJ61)</f>
        <v>186317.46</v>
      </c>
      <c r="BM61" s="68">
        <f t="shared" ref="BM61:BM67" si="11">SUM(C61+E61+G61+I61+K61+M61+O61+Q61+S61+U61+W61+Y61+AA61+AC61+AE61+AG61+AI61+AK61+AM61+AO61+AQ61+AS61+AU61+AW61+AY61+BA61+BC61+BE61+BG61+BI61+BK61)</f>
        <v>350335.64</v>
      </c>
    </row>
    <row r="62" spans="1:65" x14ac:dyDescent="0.25">
      <c r="A62" s="92" t="s">
        <v>292</v>
      </c>
      <c r="B62" s="92"/>
      <c r="C62" s="92"/>
      <c r="D62" s="76"/>
      <c r="E62" s="76"/>
      <c r="F62" s="76"/>
      <c r="G62" s="76"/>
      <c r="H62" s="92"/>
      <c r="I62" s="92"/>
      <c r="J62" s="76"/>
      <c r="K62" s="76"/>
      <c r="L62" s="92"/>
      <c r="M62" s="92"/>
      <c r="N62" s="76"/>
      <c r="O62" s="76"/>
      <c r="P62" s="92"/>
      <c r="Q62" s="92"/>
      <c r="R62" s="92"/>
      <c r="S62" s="92"/>
      <c r="T62" s="92"/>
      <c r="U62" s="92"/>
      <c r="V62" s="92">
        <v>32</v>
      </c>
      <c r="W62" s="92">
        <v>32</v>
      </c>
      <c r="X62" s="92">
        <v>1</v>
      </c>
      <c r="Y62" s="92">
        <v>1</v>
      </c>
      <c r="Z62" s="92">
        <v>1733</v>
      </c>
      <c r="AA62" s="92">
        <v>1733</v>
      </c>
      <c r="AB62" s="92"/>
      <c r="AC62" s="92"/>
      <c r="AD62" s="76"/>
      <c r="AE62" s="76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76"/>
      <c r="AS62" s="76"/>
      <c r="AT62" s="92">
        <v>318.24</v>
      </c>
      <c r="AU62" s="92">
        <v>1359.99</v>
      </c>
      <c r="AV62" s="92"/>
      <c r="AW62" s="92"/>
      <c r="AX62" s="92"/>
      <c r="AY62" s="92"/>
      <c r="AZ62" s="92"/>
      <c r="BA62" s="76"/>
      <c r="BB62" s="92"/>
      <c r="BC62" s="92"/>
      <c r="BD62" s="92">
        <v>56.23</v>
      </c>
      <c r="BE62" s="92">
        <v>157.44999999999999</v>
      </c>
      <c r="BF62" s="92">
        <v>2167</v>
      </c>
      <c r="BG62" s="92">
        <v>2168</v>
      </c>
      <c r="BH62" s="92">
        <v>0</v>
      </c>
      <c r="BI62" s="92">
        <v>0</v>
      </c>
      <c r="BJ62" s="92"/>
      <c r="BK62" s="92"/>
      <c r="BL62" s="68">
        <f t="shared" si="10"/>
        <v>4307.4699999999993</v>
      </c>
      <c r="BM62" s="68">
        <f t="shared" si="11"/>
        <v>5451.44</v>
      </c>
    </row>
    <row r="63" spans="1:65" x14ac:dyDescent="0.25">
      <c r="A63" s="92" t="s">
        <v>293</v>
      </c>
      <c r="B63" s="92">
        <v>14</v>
      </c>
      <c r="C63" s="92">
        <v>34</v>
      </c>
      <c r="D63" s="92">
        <v>179</v>
      </c>
      <c r="E63" s="92">
        <v>491</v>
      </c>
      <c r="F63" s="76"/>
      <c r="G63" s="76"/>
      <c r="H63" s="92">
        <v>-370</v>
      </c>
      <c r="I63" s="92">
        <v>-681</v>
      </c>
      <c r="J63" s="92">
        <v>617.49</v>
      </c>
      <c r="K63" s="92">
        <v>1060.95</v>
      </c>
      <c r="L63" s="92">
        <v>2045</v>
      </c>
      <c r="M63" s="92">
        <v>3475</v>
      </c>
      <c r="N63" s="76"/>
      <c r="O63" s="76"/>
      <c r="P63" s="92">
        <v>47.48</v>
      </c>
      <c r="Q63" s="92">
        <v>69.11</v>
      </c>
      <c r="R63" s="92">
        <v>304.87</v>
      </c>
      <c r="S63" s="92">
        <v>475.5</v>
      </c>
      <c r="T63" s="92">
        <v>7919</v>
      </c>
      <c r="U63" s="92">
        <v>7954</v>
      </c>
      <c r="V63" s="92">
        <v>-7546</v>
      </c>
      <c r="W63" s="92">
        <v>-12577</v>
      </c>
      <c r="X63" s="92">
        <v>1611</v>
      </c>
      <c r="Y63" s="92">
        <v>3379</v>
      </c>
      <c r="Z63" s="92">
        <v>223</v>
      </c>
      <c r="AA63" s="92">
        <v>486</v>
      </c>
      <c r="AB63" s="92">
        <v>191</v>
      </c>
      <c r="AC63" s="92">
        <v>313</v>
      </c>
      <c r="AD63" s="92">
        <v>25.16</v>
      </c>
      <c r="AE63" s="92">
        <v>94.73</v>
      </c>
      <c r="AF63" s="92">
        <v>19.64</v>
      </c>
      <c r="AG63" s="92">
        <v>-28.15</v>
      </c>
      <c r="AH63" s="92">
        <v>28.61</v>
      </c>
      <c r="AI63" s="92">
        <v>76.27</v>
      </c>
      <c r="AJ63" s="92">
        <v>163.72</v>
      </c>
      <c r="AK63" s="92">
        <v>392.23</v>
      </c>
      <c r="AL63" s="92">
        <v>185.57</v>
      </c>
      <c r="AM63" s="92">
        <v>782.97</v>
      </c>
      <c r="AN63" s="92">
        <v>-109</v>
      </c>
      <c r="AO63" s="92">
        <v>-126</v>
      </c>
      <c r="AP63" s="92">
        <v>4</v>
      </c>
      <c r="AQ63" s="92">
        <v>11</v>
      </c>
      <c r="AR63" s="76">
        <v>897</v>
      </c>
      <c r="AS63" s="76">
        <v>1629</v>
      </c>
      <c r="AT63" s="92">
        <v>-467.04</v>
      </c>
      <c r="AU63" s="92">
        <v>-1361.66</v>
      </c>
      <c r="AV63" s="92">
        <v>3729</v>
      </c>
      <c r="AW63" s="92">
        <v>5505</v>
      </c>
      <c r="AX63" s="92">
        <v>193</v>
      </c>
      <c r="AY63" s="92">
        <v>338</v>
      </c>
      <c r="AZ63" s="92">
        <v>1025</v>
      </c>
      <c r="BA63" s="92">
        <v>2925</v>
      </c>
      <c r="BB63" s="92">
        <v>208</v>
      </c>
      <c r="BC63" s="92">
        <v>452</v>
      </c>
      <c r="BD63" s="92">
        <v>2231.59</v>
      </c>
      <c r="BE63" s="92">
        <v>4864.8100000000004</v>
      </c>
      <c r="BF63" s="92">
        <v>2973</v>
      </c>
      <c r="BG63" s="92">
        <v>3862</v>
      </c>
      <c r="BH63" s="92">
        <v>7573</v>
      </c>
      <c r="BI63" s="92">
        <v>12750</v>
      </c>
      <c r="BJ63" s="92">
        <v>11309</v>
      </c>
      <c r="BK63" s="92">
        <v>16898</v>
      </c>
      <c r="BL63" s="68">
        <f t="shared" si="10"/>
        <v>35225.089999999997</v>
      </c>
      <c r="BM63" s="68">
        <f t="shared" si="11"/>
        <v>53544.76</v>
      </c>
    </row>
    <row r="64" spans="1:65" s="7" customFormat="1" x14ac:dyDescent="0.25">
      <c r="A64" s="10" t="s">
        <v>294</v>
      </c>
      <c r="B64" s="10">
        <v>140</v>
      </c>
      <c r="C64" s="10">
        <v>309</v>
      </c>
      <c r="D64" s="10">
        <v>3402</v>
      </c>
      <c r="E64" s="10">
        <v>6465</v>
      </c>
      <c r="F64" s="10"/>
      <c r="G64" s="10"/>
      <c r="H64" s="10">
        <v>4709</v>
      </c>
      <c r="I64" s="10">
        <v>9115</v>
      </c>
      <c r="J64" s="10"/>
      <c r="K64" s="10"/>
      <c r="L64" s="10">
        <v>4773</v>
      </c>
      <c r="M64" s="10">
        <v>7865</v>
      </c>
      <c r="N64" s="10"/>
      <c r="O64" s="10"/>
      <c r="P64" s="10">
        <v>24.36</v>
      </c>
      <c r="Q64" s="10">
        <v>255.83</v>
      </c>
      <c r="R64" s="10">
        <v>2179.9</v>
      </c>
      <c r="S64" s="10">
        <v>3709.08</v>
      </c>
      <c r="T64" s="10">
        <v>7735</v>
      </c>
      <c r="U64" s="10">
        <v>8400</v>
      </c>
      <c r="V64" s="10">
        <v>7451</v>
      </c>
      <c r="W64" s="10">
        <v>16538</v>
      </c>
      <c r="X64" s="10">
        <v>7521</v>
      </c>
      <c r="Y64" s="10">
        <v>15546</v>
      </c>
      <c r="Z64" s="10">
        <v>4371</v>
      </c>
      <c r="AA64" s="10">
        <v>7019</v>
      </c>
      <c r="AB64" s="10">
        <v>810</v>
      </c>
      <c r="AC64" s="10">
        <v>1300</v>
      </c>
      <c r="AD64" s="10">
        <v>475.72</v>
      </c>
      <c r="AE64" s="10">
        <v>1053.79</v>
      </c>
      <c r="AF64" s="10">
        <v>113.41</v>
      </c>
      <c r="AG64" s="10">
        <v>224.21</v>
      </c>
      <c r="AH64" s="10">
        <v>261.86</v>
      </c>
      <c r="AI64" s="10">
        <v>553.92999999999995</v>
      </c>
      <c r="AJ64" s="10">
        <v>143.26</v>
      </c>
      <c r="AK64" s="10">
        <v>2073.13</v>
      </c>
      <c r="AL64" s="10">
        <v>4166.7700000000004</v>
      </c>
      <c r="AM64" s="10">
        <v>14012.39</v>
      </c>
      <c r="AN64" s="10">
        <v>77</v>
      </c>
      <c r="AO64" s="10">
        <v>78</v>
      </c>
      <c r="AP64" s="10">
        <v>1</v>
      </c>
      <c r="AQ64" s="10">
        <v>2</v>
      </c>
      <c r="AR64" s="10">
        <v>1172</v>
      </c>
      <c r="AS64" s="10">
        <v>2915</v>
      </c>
      <c r="AT64" s="10"/>
      <c r="AU64" s="10"/>
      <c r="AV64" s="10">
        <v>18988</v>
      </c>
      <c r="AW64" s="10">
        <v>27149</v>
      </c>
      <c r="AX64" s="10">
        <v>371</v>
      </c>
      <c r="AY64" s="10">
        <v>586</v>
      </c>
      <c r="AZ64" s="10">
        <v>2998</v>
      </c>
      <c r="BA64" s="10">
        <v>3779</v>
      </c>
      <c r="BB64" s="10">
        <v>2892</v>
      </c>
      <c r="BC64" s="10">
        <v>6203</v>
      </c>
      <c r="BD64" s="10">
        <v>37114.07</v>
      </c>
      <c r="BE64" s="10">
        <v>92437.23</v>
      </c>
      <c r="BF64" s="10">
        <v>8291</v>
      </c>
      <c r="BG64" s="10">
        <v>14575</v>
      </c>
      <c r="BH64" s="10">
        <v>7802</v>
      </c>
      <c r="BI64" s="10">
        <v>11060</v>
      </c>
      <c r="BJ64" s="10">
        <v>869</v>
      </c>
      <c r="BK64" s="10">
        <v>3775</v>
      </c>
      <c r="BL64" s="63">
        <f t="shared" si="10"/>
        <v>128852.35</v>
      </c>
      <c r="BM64" s="63">
        <f t="shared" si="11"/>
        <v>256998.58999999997</v>
      </c>
    </row>
    <row r="65" spans="1:65" x14ac:dyDescent="0.25">
      <c r="A65" s="92" t="s">
        <v>295</v>
      </c>
      <c r="B65" s="92">
        <v>163</v>
      </c>
      <c r="C65" s="92">
        <v>78</v>
      </c>
      <c r="D65" s="92">
        <v>7760</v>
      </c>
      <c r="E65" s="92">
        <v>6276</v>
      </c>
      <c r="F65" s="92"/>
      <c r="G65" s="92"/>
      <c r="H65" s="92">
        <v>11911</v>
      </c>
      <c r="I65" s="92">
        <v>12785</v>
      </c>
      <c r="J65" s="92"/>
      <c r="K65" s="92"/>
      <c r="L65" s="92"/>
      <c r="M65" s="92">
        <v>27138</v>
      </c>
      <c r="N65" s="92"/>
      <c r="O65" s="92"/>
      <c r="P65" s="92">
        <v>232.54</v>
      </c>
      <c r="Q65" s="92">
        <v>59.76</v>
      </c>
      <c r="R65" s="92">
        <v>3703.63</v>
      </c>
      <c r="S65" s="92">
        <v>3923.81</v>
      </c>
      <c r="T65" s="92">
        <v>1910</v>
      </c>
      <c r="U65" s="92">
        <v>1793</v>
      </c>
      <c r="V65" s="92">
        <v>61581</v>
      </c>
      <c r="W65" s="92">
        <v>63717</v>
      </c>
      <c r="X65" s="92">
        <v>43267</v>
      </c>
      <c r="Y65" s="92">
        <v>41338</v>
      </c>
      <c r="Z65" s="92"/>
      <c r="AA65" s="92">
        <v>4313</v>
      </c>
      <c r="AB65" s="92">
        <v>1145</v>
      </c>
      <c r="AC65" s="92">
        <v>944</v>
      </c>
      <c r="AD65" s="92"/>
      <c r="AE65" s="92"/>
      <c r="AF65" s="92">
        <v>236.88</v>
      </c>
      <c r="AG65" s="92">
        <v>204.28</v>
      </c>
      <c r="AH65" s="92">
        <v>526.05999999999995</v>
      </c>
      <c r="AI65" s="92">
        <v>442.76</v>
      </c>
      <c r="AJ65" s="92">
        <v>4376.45</v>
      </c>
      <c r="AK65" s="92">
        <v>3789.06</v>
      </c>
      <c r="AL65" s="92">
        <v>12653.91</v>
      </c>
      <c r="AM65" s="92">
        <v>9668.69</v>
      </c>
      <c r="AN65" s="92">
        <v>933</v>
      </c>
      <c r="AO65" s="92">
        <v>1025</v>
      </c>
      <c r="AP65" s="92">
        <v>2</v>
      </c>
      <c r="AQ65" s="92">
        <v>49</v>
      </c>
      <c r="AR65" s="92">
        <v>5062</v>
      </c>
      <c r="AS65" s="92">
        <v>4374</v>
      </c>
      <c r="AT65" s="92"/>
      <c r="AU65" s="92"/>
      <c r="AV65" s="92">
        <v>37896</v>
      </c>
      <c r="AW65" s="92">
        <v>49479</v>
      </c>
      <c r="AX65" s="92">
        <v>327</v>
      </c>
      <c r="AY65" s="92">
        <v>273</v>
      </c>
      <c r="AZ65" s="92">
        <v>9225</v>
      </c>
      <c r="BA65" s="92">
        <v>10401</v>
      </c>
      <c r="BB65" s="92">
        <v>6727</v>
      </c>
      <c r="BC65" s="92">
        <v>6950</v>
      </c>
      <c r="BD65" s="92"/>
      <c r="BE65" s="92"/>
      <c r="BF65" s="92">
        <v>0</v>
      </c>
      <c r="BG65" s="92"/>
      <c r="BH65" s="92">
        <v>10217</v>
      </c>
      <c r="BI65" s="92">
        <v>9919</v>
      </c>
      <c r="BJ65" s="92">
        <v>3467</v>
      </c>
      <c r="BK65" s="92">
        <v>1817</v>
      </c>
      <c r="BL65" s="68">
        <f t="shared" si="10"/>
        <v>223322.47</v>
      </c>
      <c r="BM65" s="68">
        <f t="shared" si="11"/>
        <v>260757.36000000002</v>
      </c>
    </row>
    <row r="66" spans="1:65" x14ac:dyDescent="0.25">
      <c r="A66" s="2" t="s">
        <v>296</v>
      </c>
      <c r="B66" s="92">
        <v>209</v>
      </c>
      <c r="C66" s="92">
        <v>209</v>
      </c>
      <c r="D66" s="92">
        <v>7555</v>
      </c>
      <c r="E66" s="92">
        <v>7555</v>
      </c>
      <c r="F66" s="92"/>
      <c r="G66" s="92"/>
      <c r="H66" s="92">
        <v>11718</v>
      </c>
      <c r="I66" s="92">
        <v>11718</v>
      </c>
      <c r="J66" s="92"/>
      <c r="K66" s="92"/>
      <c r="L66" s="92">
        <v>115</v>
      </c>
      <c r="M66" s="92">
        <v>25623</v>
      </c>
      <c r="N66" s="92"/>
      <c r="O66" s="92"/>
      <c r="P66" s="92">
        <v>210.87</v>
      </c>
      <c r="Q66" s="92">
        <v>210.87</v>
      </c>
      <c r="R66" s="92">
        <v>4118.6000000000004</v>
      </c>
      <c r="S66" s="92">
        <v>4118.6000000000004</v>
      </c>
      <c r="T66" s="92">
        <v>8297</v>
      </c>
      <c r="U66" s="92">
        <v>8297</v>
      </c>
      <c r="V66" s="92">
        <v>-58054</v>
      </c>
      <c r="W66" s="92">
        <v>-58054</v>
      </c>
      <c r="X66" s="92">
        <v>39467</v>
      </c>
      <c r="Y66" s="92">
        <v>39467</v>
      </c>
      <c r="Z66" s="92">
        <v>1640</v>
      </c>
      <c r="AA66" s="92">
        <v>6490</v>
      </c>
      <c r="AB66" s="92">
        <v>1577</v>
      </c>
      <c r="AC66" s="92">
        <v>1577</v>
      </c>
      <c r="AD66" s="92"/>
      <c r="AE66" s="92"/>
      <c r="AF66" s="92">
        <v>-202.44</v>
      </c>
      <c r="AG66" s="92">
        <v>-202.44</v>
      </c>
      <c r="AH66" s="92">
        <v>575.71</v>
      </c>
      <c r="AI66" s="92">
        <v>575.71</v>
      </c>
      <c r="AJ66" s="92">
        <v>3744.64</v>
      </c>
      <c r="AK66" s="92">
        <v>3744.63</v>
      </c>
      <c r="AL66" s="92">
        <v>10894.09</v>
      </c>
      <c r="AM66" s="92">
        <v>10894.09</v>
      </c>
      <c r="AN66" s="92">
        <v>-914</v>
      </c>
      <c r="AO66" s="92">
        <v>-914</v>
      </c>
      <c r="AP66" s="92">
        <v>2</v>
      </c>
      <c r="AQ66" s="92">
        <v>2</v>
      </c>
      <c r="AR66" s="92">
        <v>5095</v>
      </c>
      <c r="AS66" s="92">
        <v>5095</v>
      </c>
      <c r="AT66" s="92"/>
      <c r="AU66" s="92"/>
      <c r="AV66" s="92">
        <v>37524</v>
      </c>
      <c r="AW66" s="92">
        <v>37524</v>
      </c>
      <c r="AX66" s="92">
        <v>474</v>
      </c>
      <c r="AY66" s="92">
        <v>474</v>
      </c>
      <c r="AZ66" s="92">
        <v>10570</v>
      </c>
      <c r="BA66" s="92">
        <v>10570</v>
      </c>
      <c r="BB66" s="92">
        <v>6629</v>
      </c>
      <c r="BC66" s="92">
        <v>6629</v>
      </c>
      <c r="BD66" s="92"/>
      <c r="BE66" s="92"/>
      <c r="BF66" s="92">
        <v>1505</v>
      </c>
      <c r="BG66" s="92">
        <v>2323</v>
      </c>
      <c r="BH66" s="92">
        <v>9977</v>
      </c>
      <c r="BI66" s="92">
        <v>9977</v>
      </c>
      <c r="BJ66" s="92">
        <v>-3075</v>
      </c>
      <c r="BK66" s="92">
        <v>-3075</v>
      </c>
      <c r="BL66" s="68">
        <f t="shared" si="10"/>
        <v>99652.47</v>
      </c>
      <c r="BM66" s="68">
        <f t="shared" si="11"/>
        <v>130828.45999999999</v>
      </c>
    </row>
    <row r="67" spans="1:65" s="7" customFormat="1" x14ac:dyDescent="0.25">
      <c r="A67" s="10" t="s">
        <v>192</v>
      </c>
      <c r="B67" s="10">
        <v>94</v>
      </c>
      <c r="C67" s="10">
        <v>178</v>
      </c>
      <c r="D67" s="10">
        <v>3607</v>
      </c>
      <c r="E67" s="10">
        <v>5186</v>
      </c>
      <c r="F67" s="10"/>
      <c r="G67" s="10"/>
      <c r="H67" s="10">
        <v>4902</v>
      </c>
      <c r="I67" s="10">
        <v>10182</v>
      </c>
      <c r="J67" s="10">
        <v>6952.42</v>
      </c>
      <c r="K67" s="10">
        <v>10306.030000000001</v>
      </c>
      <c r="L67" s="10">
        <v>4658</v>
      </c>
      <c r="M67" s="10">
        <v>9380</v>
      </c>
      <c r="N67" s="10"/>
      <c r="O67" s="10"/>
      <c r="P67" s="10">
        <v>46.03</v>
      </c>
      <c r="Q67" s="10">
        <v>104.72</v>
      </c>
      <c r="R67" s="10">
        <v>1764.94</v>
      </c>
      <c r="S67" s="10">
        <v>3514.29</v>
      </c>
      <c r="T67" s="10">
        <v>1348</v>
      </c>
      <c r="U67" s="10">
        <v>1896</v>
      </c>
      <c r="V67" s="10">
        <v>10978</v>
      </c>
      <c r="W67" s="10">
        <v>22201</v>
      </c>
      <c r="X67" s="10">
        <v>11320</v>
      </c>
      <c r="Y67" s="10">
        <v>22555</v>
      </c>
      <c r="Z67" s="10">
        <v>2731</v>
      </c>
      <c r="AA67" s="10">
        <v>4842</v>
      </c>
      <c r="AB67" s="10">
        <v>377</v>
      </c>
      <c r="AC67" s="10">
        <v>667</v>
      </c>
      <c r="AD67" s="10">
        <v>474.2</v>
      </c>
      <c r="AE67" s="10">
        <v>1002.83</v>
      </c>
      <c r="AF67" s="10">
        <v>147.85</v>
      </c>
      <c r="AG67" s="10">
        <v>226.05</v>
      </c>
      <c r="AH67" s="10">
        <v>212.22</v>
      </c>
      <c r="AI67" s="10">
        <v>420.98</v>
      </c>
      <c r="AJ67" s="10">
        <v>775.07</v>
      </c>
      <c r="AK67" s="10">
        <v>2117.56</v>
      </c>
      <c r="AL67" s="10">
        <v>5926.59</v>
      </c>
      <c r="AM67" s="10">
        <v>12786.99</v>
      </c>
      <c r="AN67" s="10">
        <v>96</v>
      </c>
      <c r="AO67" s="10">
        <v>189</v>
      </c>
      <c r="AP67" s="10">
        <v>1</v>
      </c>
      <c r="AQ67" s="10">
        <v>50</v>
      </c>
      <c r="AR67" s="10">
        <v>1140</v>
      </c>
      <c r="AS67" s="10">
        <v>2195</v>
      </c>
      <c r="AT67" s="10">
        <v>1149.95</v>
      </c>
      <c r="AU67" s="10">
        <v>2253.13</v>
      </c>
      <c r="AV67" s="10">
        <v>19360</v>
      </c>
      <c r="AW67" s="10">
        <v>39104</v>
      </c>
      <c r="AX67" s="10">
        <v>224</v>
      </c>
      <c r="AY67" s="10">
        <v>385</v>
      </c>
      <c r="AZ67" s="10">
        <v>1653</v>
      </c>
      <c r="BA67" s="10">
        <v>3610</v>
      </c>
      <c r="BB67" s="10">
        <v>2991</v>
      </c>
      <c r="BC67" s="10">
        <v>6523</v>
      </c>
      <c r="BD67" s="10">
        <v>44595.28</v>
      </c>
      <c r="BE67" s="10">
        <v>86117.15</v>
      </c>
      <c r="BF67" s="10">
        <v>6786</v>
      </c>
      <c r="BG67" s="10">
        <v>12252</v>
      </c>
      <c r="BH67" s="10">
        <v>8042</v>
      </c>
      <c r="BI67" s="10">
        <v>11001</v>
      </c>
      <c r="BJ67" s="10">
        <v>1261</v>
      </c>
      <c r="BK67" s="10">
        <v>2516</v>
      </c>
      <c r="BL67" s="63">
        <f t="shared" si="10"/>
        <v>143613.54999999999</v>
      </c>
      <c r="BM67" s="63">
        <f t="shared" si="11"/>
        <v>273761.73</v>
      </c>
    </row>
    <row r="69" spans="1:65" x14ac:dyDescent="0.25">
      <c r="A69" s="23" t="s">
        <v>246</v>
      </c>
    </row>
    <row r="70" spans="1:65" x14ac:dyDescent="0.25">
      <c r="A70" s="1" t="s">
        <v>0</v>
      </c>
      <c r="B70" s="147" t="s">
        <v>1</v>
      </c>
      <c r="C70" s="148"/>
      <c r="D70" s="147" t="s">
        <v>233</v>
      </c>
      <c r="E70" s="148"/>
      <c r="F70" s="147" t="s">
        <v>2</v>
      </c>
      <c r="G70" s="148"/>
      <c r="H70" s="147" t="s">
        <v>3</v>
      </c>
      <c r="I70" s="148"/>
      <c r="J70" s="147" t="s">
        <v>242</v>
      </c>
      <c r="K70" s="148"/>
      <c r="L70" s="147" t="s">
        <v>234</v>
      </c>
      <c r="M70" s="148"/>
      <c r="N70" s="147" t="s">
        <v>5</v>
      </c>
      <c r="O70" s="148"/>
      <c r="P70" s="147" t="s">
        <v>4</v>
      </c>
      <c r="Q70" s="148"/>
      <c r="R70" s="147" t="s">
        <v>6</v>
      </c>
      <c r="S70" s="148"/>
      <c r="T70" s="147" t="s">
        <v>254</v>
      </c>
      <c r="U70" s="148"/>
      <c r="V70" s="147" t="s">
        <v>7</v>
      </c>
      <c r="W70" s="148"/>
      <c r="X70" s="147" t="s">
        <v>8</v>
      </c>
      <c r="Y70" s="148"/>
      <c r="Z70" s="147" t="s">
        <v>9</v>
      </c>
      <c r="AA70" s="148"/>
      <c r="AB70" s="147" t="s">
        <v>241</v>
      </c>
      <c r="AC70" s="148"/>
      <c r="AD70" s="147" t="s">
        <v>10</v>
      </c>
      <c r="AE70" s="148"/>
      <c r="AF70" s="147" t="s">
        <v>11</v>
      </c>
      <c r="AG70" s="148"/>
      <c r="AH70" s="147" t="s">
        <v>235</v>
      </c>
      <c r="AI70" s="148"/>
      <c r="AJ70" s="147" t="s">
        <v>253</v>
      </c>
      <c r="AK70" s="148"/>
      <c r="AL70" s="147" t="s">
        <v>12</v>
      </c>
      <c r="AM70" s="148"/>
      <c r="AN70" s="147" t="s">
        <v>236</v>
      </c>
      <c r="AO70" s="148"/>
      <c r="AP70" s="147" t="s">
        <v>237</v>
      </c>
      <c r="AQ70" s="148"/>
      <c r="AR70" s="147" t="s">
        <v>240</v>
      </c>
      <c r="AS70" s="148"/>
      <c r="AT70" s="147" t="s">
        <v>13</v>
      </c>
      <c r="AU70" s="148"/>
      <c r="AV70" s="147" t="s">
        <v>14</v>
      </c>
      <c r="AW70" s="148"/>
      <c r="AX70" s="147" t="s">
        <v>15</v>
      </c>
      <c r="AY70" s="148"/>
      <c r="AZ70" s="147" t="s">
        <v>16</v>
      </c>
      <c r="BA70" s="148"/>
      <c r="BB70" s="147" t="s">
        <v>17</v>
      </c>
      <c r="BC70" s="148"/>
      <c r="BD70" s="147" t="s">
        <v>238</v>
      </c>
      <c r="BE70" s="148"/>
      <c r="BF70" s="147" t="s">
        <v>239</v>
      </c>
      <c r="BG70" s="148"/>
      <c r="BH70" s="147" t="s">
        <v>18</v>
      </c>
      <c r="BI70" s="148"/>
      <c r="BJ70" s="147" t="s">
        <v>19</v>
      </c>
      <c r="BK70" s="148"/>
      <c r="BL70" s="149" t="s">
        <v>20</v>
      </c>
      <c r="BM70" s="150"/>
    </row>
    <row r="71" spans="1:65" ht="30" x14ac:dyDescent="0.25">
      <c r="A71" s="1"/>
      <c r="B71" s="53" t="s">
        <v>243</v>
      </c>
      <c r="C71" s="54" t="s">
        <v>244</v>
      </c>
      <c r="D71" s="53" t="s">
        <v>243</v>
      </c>
      <c r="E71" s="54" t="s">
        <v>244</v>
      </c>
      <c r="F71" s="53" t="s">
        <v>243</v>
      </c>
      <c r="G71" s="54" t="s">
        <v>244</v>
      </c>
      <c r="H71" s="53" t="s">
        <v>243</v>
      </c>
      <c r="I71" s="54" t="s">
        <v>244</v>
      </c>
      <c r="J71" s="53" t="s">
        <v>243</v>
      </c>
      <c r="K71" s="54" t="s">
        <v>244</v>
      </c>
      <c r="L71" s="53" t="s">
        <v>243</v>
      </c>
      <c r="M71" s="54" t="s">
        <v>244</v>
      </c>
      <c r="N71" s="53" t="s">
        <v>243</v>
      </c>
      <c r="O71" s="54" t="s">
        <v>244</v>
      </c>
      <c r="P71" s="53" t="s">
        <v>243</v>
      </c>
      <c r="Q71" s="54" t="s">
        <v>244</v>
      </c>
      <c r="R71" s="53" t="s">
        <v>243</v>
      </c>
      <c r="S71" s="54" t="s">
        <v>244</v>
      </c>
      <c r="T71" s="53" t="s">
        <v>243</v>
      </c>
      <c r="U71" s="54" t="s">
        <v>244</v>
      </c>
      <c r="V71" s="53" t="s">
        <v>243</v>
      </c>
      <c r="W71" s="54" t="s">
        <v>244</v>
      </c>
      <c r="X71" s="53" t="s">
        <v>243</v>
      </c>
      <c r="Y71" s="54" t="s">
        <v>244</v>
      </c>
      <c r="Z71" s="53" t="s">
        <v>243</v>
      </c>
      <c r="AA71" s="54" t="s">
        <v>244</v>
      </c>
      <c r="AB71" s="53" t="s">
        <v>243</v>
      </c>
      <c r="AC71" s="54" t="s">
        <v>244</v>
      </c>
      <c r="AD71" s="53" t="s">
        <v>243</v>
      </c>
      <c r="AE71" s="54" t="s">
        <v>244</v>
      </c>
      <c r="AF71" s="53" t="s">
        <v>243</v>
      </c>
      <c r="AG71" s="54" t="s">
        <v>244</v>
      </c>
      <c r="AH71" s="53" t="s">
        <v>243</v>
      </c>
      <c r="AI71" s="54" t="s">
        <v>244</v>
      </c>
      <c r="AJ71" s="53" t="s">
        <v>243</v>
      </c>
      <c r="AK71" s="54" t="s">
        <v>244</v>
      </c>
      <c r="AL71" s="53" t="s">
        <v>243</v>
      </c>
      <c r="AM71" s="54" t="s">
        <v>244</v>
      </c>
      <c r="AN71" s="53" t="s">
        <v>243</v>
      </c>
      <c r="AO71" s="54" t="s">
        <v>244</v>
      </c>
      <c r="AP71" s="53" t="s">
        <v>243</v>
      </c>
      <c r="AQ71" s="54" t="s">
        <v>244</v>
      </c>
      <c r="AR71" s="53" t="s">
        <v>243</v>
      </c>
      <c r="AS71" s="54" t="s">
        <v>244</v>
      </c>
      <c r="AT71" s="53" t="s">
        <v>243</v>
      </c>
      <c r="AU71" s="54" t="s">
        <v>244</v>
      </c>
      <c r="AV71" s="53" t="s">
        <v>243</v>
      </c>
      <c r="AW71" s="54" t="s">
        <v>244</v>
      </c>
      <c r="AX71" s="53" t="s">
        <v>243</v>
      </c>
      <c r="AY71" s="54" t="s">
        <v>244</v>
      </c>
      <c r="AZ71" s="53" t="s">
        <v>243</v>
      </c>
      <c r="BA71" s="54" t="s">
        <v>244</v>
      </c>
      <c r="BB71" s="53" t="s">
        <v>243</v>
      </c>
      <c r="BC71" s="54" t="s">
        <v>244</v>
      </c>
      <c r="BD71" s="53" t="s">
        <v>243</v>
      </c>
      <c r="BE71" s="54" t="s">
        <v>244</v>
      </c>
      <c r="BF71" s="53" t="s">
        <v>243</v>
      </c>
      <c r="BG71" s="54" t="s">
        <v>244</v>
      </c>
      <c r="BH71" s="53" t="s">
        <v>243</v>
      </c>
      <c r="BI71" s="54" t="s">
        <v>244</v>
      </c>
      <c r="BJ71" s="53" t="s">
        <v>243</v>
      </c>
      <c r="BK71" s="54" t="s">
        <v>244</v>
      </c>
      <c r="BL71" s="105" t="s">
        <v>243</v>
      </c>
      <c r="BM71" s="106" t="s">
        <v>244</v>
      </c>
    </row>
    <row r="72" spans="1:65" x14ac:dyDescent="0.25">
      <c r="A72" s="92" t="s">
        <v>291</v>
      </c>
      <c r="B72" s="76"/>
      <c r="C72" s="76"/>
      <c r="D72" s="76"/>
      <c r="E72" s="76"/>
      <c r="F72" s="92">
        <v>775424</v>
      </c>
      <c r="G72" s="92">
        <v>796124</v>
      </c>
      <c r="H72" s="92">
        <v>154214</v>
      </c>
      <c r="I72" s="92">
        <v>151500</v>
      </c>
      <c r="J72" s="76"/>
      <c r="K72" s="76"/>
      <c r="L72" s="92">
        <v>-1</v>
      </c>
      <c r="M72" s="92">
        <v>-1</v>
      </c>
      <c r="N72" s="76"/>
      <c r="O72" s="76"/>
      <c r="P72" s="76"/>
      <c r="Q72" s="76"/>
      <c r="R72" s="92">
        <v>35898.980000000003</v>
      </c>
      <c r="S72" s="92">
        <v>37140.25</v>
      </c>
      <c r="T72" s="92">
        <v>0</v>
      </c>
      <c r="U72" s="92">
        <v>0</v>
      </c>
      <c r="V72" s="92">
        <v>154533</v>
      </c>
      <c r="W72" s="92">
        <v>159086</v>
      </c>
      <c r="X72" s="92">
        <v>58283</v>
      </c>
      <c r="Y72" s="92">
        <v>58286</v>
      </c>
      <c r="Z72" s="92">
        <v>66763</v>
      </c>
      <c r="AA72" s="92">
        <v>66763</v>
      </c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92">
        <v>4165.87</v>
      </c>
      <c r="AM72" s="92">
        <v>4943.33</v>
      </c>
      <c r="AN72" s="76"/>
      <c r="AO72" s="76"/>
      <c r="AP72" s="76"/>
      <c r="AQ72" s="76"/>
      <c r="AR72" s="76">
        <v>150678</v>
      </c>
      <c r="AS72" s="76">
        <v>193826</v>
      </c>
      <c r="AT72" s="76"/>
      <c r="AU72" s="76"/>
      <c r="AV72" s="92">
        <v>133194</v>
      </c>
      <c r="AW72" s="92">
        <v>135897</v>
      </c>
      <c r="AX72" s="76"/>
      <c r="AY72" s="76"/>
      <c r="AZ72" s="76"/>
      <c r="BA72" s="76"/>
      <c r="BB72" s="92">
        <v>315</v>
      </c>
      <c r="BC72" s="92">
        <v>341</v>
      </c>
      <c r="BD72" s="92">
        <v>53828.53</v>
      </c>
      <c r="BE72" s="92">
        <v>54517.48</v>
      </c>
      <c r="BF72" s="92">
        <v>34141</v>
      </c>
      <c r="BG72" s="92">
        <v>33086</v>
      </c>
      <c r="BH72" s="92">
        <v>681</v>
      </c>
      <c r="BI72" s="92">
        <v>-144</v>
      </c>
      <c r="BJ72" s="92">
        <v>54985</v>
      </c>
      <c r="BK72" s="92">
        <v>56849</v>
      </c>
      <c r="BL72" s="68">
        <f t="shared" ref="BL72:BL78" si="12">SUM(B72+D72+F72+H72+J72+L72+N72+P72+R72+T72+V72+X72+Z72+AB72+AD72+AF72+AH72+AJ72+AL72+AN72+AP72+AR72+AT72+AV72+AX72+AZ72+BB72+BD72+BF72+BH72+BJ72)</f>
        <v>1677103.3800000001</v>
      </c>
      <c r="BM72" s="68">
        <f t="shared" ref="BM72:BM78" si="13">SUM(C72+E72+G72+I72+K72+M72+O72+Q72+S72+U72+W72+Y72+AA72+AC72+AE72+AG72+AI72+AK72+AM72+AO72+AQ72+AS72+AU72+AW72+AY72+BA72+BC72+BE72+BG72+BI72+BK72)</f>
        <v>1748214.06</v>
      </c>
    </row>
    <row r="73" spans="1:65" x14ac:dyDescent="0.25">
      <c r="A73" s="92" t="s">
        <v>292</v>
      </c>
      <c r="B73" s="76"/>
      <c r="C73" s="76"/>
      <c r="D73" s="76"/>
      <c r="E73" s="76"/>
      <c r="F73" s="92"/>
      <c r="G73" s="92"/>
      <c r="H73" s="92"/>
      <c r="I73" s="92"/>
      <c r="J73" s="76"/>
      <c r="K73" s="76"/>
      <c r="L73" s="92"/>
      <c r="M73" s="92"/>
      <c r="N73" s="76"/>
      <c r="O73" s="76"/>
      <c r="P73" s="76"/>
      <c r="Q73" s="76"/>
      <c r="R73" s="92"/>
      <c r="S73" s="92"/>
      <c r="T73" s="92">
        <v>931</v>
      </c>
      <c r="U73" s="92">
        <v>961</v>
      </c>
      <c r="V73" s="92"/>
      <c r="W73" s="92"/>
      <c r="X73" s="92"/>
      <c r="Y73" s="92"/>
      <c r="Z73" s="92"/>
      <c r="AA73" s="92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92"/>
      <c r="AM73" s="92"/>
      <c r="AN73" s="76"/>
      <c r="AO73" s="76"/>
      <c r="AP73" s="76"/>
      <c r="AQ73" s="76"/>
      <c r="AR73" s="76"/>
      <c r="AS73" s="76"/>
      <c r="AT73" s="76"/>
      <c r="AU73" s="76"/>
      <c r="AV73" s="92"/>
      <c r="AW73" s="92"/>
      <c r="AX73" s="76"/>
      <c r="AY73" s="76"/>
      <c r="AZ73" s="76"/>
      <c r="BA73" s="76"/>
      <c r="BB73" s="92"/>
      <c r="BC73" s="92"/>
      <c r="BD73" s="92">
        <v>-4.37</v>
      </c>
      <c r="BE73" s="92">
        <v>-4.37</v>
      </c>
      <c r="BF73" s="92">
        <v>40</v>
      </c>
      <c r="BG73" s="92">
        <v>40</v>
      </c>
      <c r="BH73" s="92">
        <v>0</v>
      </c>
      <c r="BI73" s="92">
        <v>0</v>
      </c>
      <c r="BJ73" s="92"/>
      <c r="BK73" s="92"/>
      <c r="BL73" s="68">
        <f t="shared" si="12"/>
        <v>966.63</v>
      </c>
      <c r="BM73" s="68">
        <f t="shared" si="13"/>
        <v>996.63</v>
      </c>
    </row>
    <row r="74" spans="1:65" x14ac:dyDescent="0.25">
      <c r="A74" s="92" t="s">
        <v>293</v>
      </c>
      <c r="B74" s="76"/>
      <c r="C74" s="76"/>
      <c r="D74" s="76"/>
      <c r="E74" s="76"/>
      <c r="F74" s="92">
        <v>403007</v>
      </c>
      <c r="G74" s="92">
        <v>415894</v>
      </c>
      <c r="H74" s="92">
        <v>-125489</v>
      </c>
      <c r="I74" s="92">
        <v>-123282</v>
      </c>
      <c r="J74" s="76"/>
      <c r="K74" s="76"/>
      <c r="L74" s="92">
        <v>-1</v>
      </c>
      <c r="M74" s="92">
        <v>-1</v>
      </c>
      <c r="N74" s="76"/>
      <c r="O74" s="76"/>
      <c r="P74" s="76"/>
      <c r="Q74" s="76"/>
      <c r="R74" s="92">
        <v>28698.26</v>
      </c>
      <c r="S74" s="92">
        <v>29689.45</v>
      </c>
      <c r="T74" s="92">
        <v>424</v>
      </c>
      <c r="U74" s="92">
        <v>432</v>
      </c>
      <c r="V74" s="92">
        <v>-119226</v>
      </c>
      <c r="W74" s="92">
        <v>-124054</v>
      </c>
      <c r="X74" s="92">
        <v>48058</v>
      </c>
      <c r="Y74" s="92">
        <v>48060</v>
      </c>
      <c r="Z74" s="92">
        <v>52147</v>
      </c>
      <c r="AA74" s="92">
        <v>52223</v>
      </c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92">
        <v>1384.98</v>
      </c>
      <c r="AM74" s="92">
        <v>1429.3</v>
      </c>
      <c r="AN74" s="76"/>
      <c r="AO74" s="76"/>
      <c r="AP74" s="76"/>
      <c r="AQ74" s="76"/>
      <c r="AR74" s="76">
        <v>81576</v>
      </c>
      <c r="AS74" s="76">
        <v>115277</v>
      </c>
      <c r="AT74" s="76"/>
      <c r="AU74" s="76"/>
      <c r="AV74" s="92">
        <v>108096</v>
      </c>
      <c r="AW74" s="92">
        <v>110275</v>
      </c>
      <c r="AX74" s="76"/>
      <c r="AY74" s="76"/>
      <c r="AZ74" s="76"/>
      <c r="BA74" s="76"/>
      <c r="BB74" s="92">
        <v>298</v>
      </c>
      <c r="BC74" s="92">
        <v>317</v>
      </c>
      <c r="BD74" s="92">
        <v>2655.94</v>
      </c>
      <c r="BE74" s="92">
        <v>2689.79</v>
      </c>
      <c r="BF74" s="92">
        <v>2135</v>
      </c>
      <c r="BG74" s="92">
        <v>1342</v>
      </c>
      <c r="BH74" s="92">
        <v>-31</v>
      </c>
      <c r="BI74" s="92">
        <v>-723</v>
      </c>
      <c r="BJ74" s="92">
        <v>44421</v>
      </c>
      <c r="BK74" s="92">
        <v>46585</v>
      </c>
      <c r="BL74" s="68">
        <f t="shared" si="12"/>
        <v>528154.17999999993</v>
      </c>
      <c r="BM74" s="68">
        <f t="shared" si="13"/>
        <v>576153.54</v>
      </c>
    </row>
    <row r="75" spans="1:65" s="7" customFormat="1" x14ac:dyDescent="0.25">
      <c r="A75" s="10" t="s">
        <v>294</v>
      </c>
      <c r="B75" s="10"/>
      <c r="C75" s="10"/>
      <c r="D75" s="10"/>
      <c r="E75" s="10"/>
      <c r="F75" s="10">
        <v>372417</v>
      </c>
      <c r="G75" s="10">
        <v>380230</v>
      </c>
      <c r="H75" s="10">
        <v>28724</v>
      </c>
      <c r="I75" s="10">
        <v>28218</v>
      </c>
      <c r="J75" s="10"/>
      <c r="K75" s="10"/>
      <c r="L75" s="10"/>
      <c r="M75" s="10"/>
      <c r="N75" s="10"/>
      <c r="O75" s="10"/>
      <c r="P75" s="10"/>
      <c r="Q75" s="10"/>
      <c r="R75" s="10">
        <v>7200.73</v>
      </c>
      <c r="S75" s="10">
        <v>7450.8</v>
      </c>
      <c r="T75" s="10">
        <v>508</v>
      </c>
      <c r="U75" s="10">
        <v>529</v>
      </c>
      <c r="V75" s="10">
        <v>35307</v>
      </c>
      <c r="W75" s="10">
        <v>35032</v>
      </c>
      <c r="X75" s="10">
        <v>10225</v>
      </c>
      <c r="Y75" s="10">
        <v>10226</v>
      </c>
      <c r="Z75" s="10">
        <v>14616</v>
      </c>
      <c r="AA75" s="10">
        <v>14540</v>
      </c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>
        <v>2780.9</v>
      </c>
      <c r="AM75" s="10">
        <v>3514.03</v>
      </c>
      <c r="AN75" s="10"/>
      <c r="AO75" s="10"/>
      <c r="AP75" s="10"/>
      <c r="AQ75" s="10"/>
      <c r="AR75" s="10">
        <v>69102</v>
      </c>
      <c r="AS75" s="10">
        <v>78550</v>
      </c>
      <c r="AT75" s="10"/>
      <c r="AU75" s="10"/>
      <c r="AV75" s="10">
        <v>25098</v>
      </c>
      <c r="AW75" s="10">
        <v>25622</v>
      </c>
      <c r="AX75" s="10"/>
      <c r="AY75" s="10"/>
      <c r="AZ75" s="10"/>
      <c r="BA75" s="10"/>
      <c r="BB75" s="10">
        <v>17</v>
      </c>
      <c r="BC75" s="10">
        <v>25</v>
      </c>
      <c r="BD75" s="10">
        <v>51168.22</v>
      </c>
      <c r="BE75" s="10">
        <v>51823.33</v>
      </c>
      <c r="BF75" s="10">
        <v>32046</v>
      </c>
      <c r="BG75" s="10">
        <v>31784</v>
      </c>
      <c r="BH75" s="10">
        <v>711</v>
      </c>
      <c r="BI75" s="10">
        <v>580</v>
      </c>
      <c r="BJ75" s="10">
        <v>10563</v>
      </c>
      <c r="BK75" s="10">
        <v>10264</v>
      </c>
      <c r="BL75" s="63">
        <f t="shared" si="12"/>
        <v>660483.85</v>
      </c>
      <c r="BM75" s="63">
        <f t="shared" si="13"/>
        <v>678388.16</v>
      </c>
    </row>
    <row r="76" spans="1:65" x14ac:dyDescent="0.25">
      <c r="A76" s="92" t="s">
        <v>295</v>
      </c>
      <c r="B76" s="92"/>
      <c r="C76" s="92"/>
      <c r="D76" s="92"/>
      <c r="E76" s="92"/>
      <c r="F76" s="92"/>
      <c r="G76" s="92">
        <v>58878</v>
      </c>
      <c r="H76" s="92">
        <v>16</v>
      </c>
      <c r="I76" s="92">
        <v>2975</v>
      </c>
      <c r="J76" s="92"/>
      <c r="K76" s="92"/>
      <c r="L76" s="92"/>
      <c r="M76" s="92"/>
      <c r="N76" s="92"/>
      <c r="O76" s="92"/>
      <c r="P76" s="92"/>
      <c r="Q76" s="92"/>
      <c r="R76" s="92"/>
      <c r="S76" s="92">
        <v>982.94</v>
      </c>
      <c r="T76" s="92"/>
      <c r="U76" s="92"/>
      <c r="V76" s="92">
        <v>262</v>
      </c>
      <c r="W76" s="92">
        <v>2304</v>
      </c>
      <c r="X76" s="92">
        <v>1</v>
      </c>
      <c r="Y76" s="92"/>
      <c r="Z76" s="92"/>
      <c r="AA76" s="92">
        <v>1933</v>
      </c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>
        <v>2520.58</v>
      </c>
      <c r="AM76" s="92">
        <v>20847.400000000001</v>
      </c>
      <c r="AN76" s="92"/>
      <c r="AO76" s="92"/>
      <c r="AP76" s="92"/>
      <c r="AQ76" s="92"/>
      <c r="AR76" s="92"/>
      <c r="AS76" s="92"/>
      <c r="AT76" s="92"/>
      <c r="AU76" s="92"/>
      <c r="AV76" s="92">
        <v>209</v>
      </c>
      <c r="AW76" s="92">
        <v>3646</v>
      </c>
      <c r="AX76" s="92"/>
      <c r="AY76" s="92"/>
      <c r="AZ76" s="92"/>
      <c r="BA76" s="92"/>
      <c r="BB76" s="92">
        <v>5</v>
      </c>
      <c r="BC76" s="92">
        <v>7</v>
      </c>
      <c r="BD76" s="92"/>
      <c r="BE76" s="92"/>
      <c r="BF76" s="92">
        <v>0</v>
      </c>
      <c r="BG76" s="92"/>
      <c r="BH76" s="92">
        <v>32892</v>
      </c>
      <c r="BI76" s="92">
        <v>34645</v>
      </c>
      <c r="BJ76" s="92"/>
      <c r="BK76" s="92">
        <v>1413</v>
      </c>
      <c r="BL76" s="68">
        <f t="shared" si="12"/>
        <v>35905.58</v>
      </c>
      <c r="BM76" s="68">
        <f t="shared" si="13"/>
        <v>127631.34</v>
      </c>
    </row>
    <row r="77" spans="1:65" x14ac:dyDescent="0.25">
      <c r="A77" s="2" t="s">
        <v>296</v>
      </c>
      <c r="B77" s="92"/>
      <c r="C77" s="92"/>
      <c r="D77" s="92"/>
      <c r="E77" s="92"/>
      <c r="F77" s="92">
        <v>109676</v>
      </c>
      <c r="G77" s="92">
        <v>109676</v>
      </c>
      <c r="H77" s="92">
        <v>9092</v>
      </c>
      <c r="I77" s="92">
        <v>9092</v>
      </c>
      <c r="J77" s="92"/>
      <c r="K77" s="92"/>
      <c r="L77" s="92"/>
      <c r="M77" s="92"/>
      <c r="N77" s="92"/>
      <c r="O77" s="92"/>
      <c r="P77" s="92"/>
      <c r="Q77" s="92"/>
      <c r="R77" s="92">
        <v>3235.47</v>
      </c>
      <c r="S77" s="92">
        <v>3235.47</v>
      </c>
      <c r="T77" s="92"/>
      <c r="U77" s="92"/>
      <c r="V77" s="92">
        <v>-12302</v>
      </c>
      <c r="W77" s="92">
        <v>-12302</v>
      </c>
      <c r="X77" s="92">
        <v>5988</v>
      </c>
      <c r="Y77" s="92">
        <v>5988</v>
      </c>
      <c r="Z77" s="92">
        <v>10005</v>
      </c>
      <c r="AA77" s="92">
        <v>10062</v>
      </c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>
        <v>2244.85</v>
      </c>
      <c r="AM77" s="92">
        <v>2244.85</v>
      </c>
      <c r="AN77" s="92"/>
      <c r="AO77" s="92"/>
      <c r="AP77" s="92"/>
      <c r="AQ77" s="92"/>
      <c r="AR77" s="92">
        <v>26654</v>
      </c>
      <c r="AS77" s="92">
        <v>26654</v>
      </c>
      <c r="AT77" s="92"/>
      <c r="AU77" s="92"/>
      <c r="AV77" s="92">
        <v>15989</v>
      </c>
      <c r="AW77" s="92">
        <v>15989</v>
      </c>
      <c r="AX77" s="92"/>
      <c r="AY77" s="92"/>
      <c r="AZ77" s="92"/>
      <c r="BA77" s="92"/>
      <c r="BB77" s="92">
        <v>14</v>
      </c>
      <c r="BC77" s="92">
        <v>14</v>
      </c>
      <c r="BD77" s="92"/>
      <c r="BE77" s="92"/>
      <c r="BF77" s="92">
        <v>15892</v>
      </c>
      <c r="BG77" s="92">
        <v>3767</v>
      </c>
      <c r="BH77" s="92">
        <v>32450</v>
      </c>
      <c r="BI77" s="92">
        <v>32450</v>
      </c>
      <c r="BJ77" s="92">
        <v>-6392</v>
      </c>
      <c r="BK77" s="92">
        <v>-6392</v>
      </c>
      <c r="BL77" s="68">
        <f t="shared" si="12"/>
        <v>212546.32</v>
      </c>
      <c r="BM77" s="68">
        <f t="shared" si="13"/>
        <v>200478.32</v>
      </c>
    </row>
    <row r="78" spans="1:65" s="7" customFormat="1" x14ac:dyDescent="0.25">
      <c r="A78" s="10" t="s">
        <v>192</v>
      </c>
      <c r="B78" s="10"/>
      <c r="C78" s="10"/>
      <c r="D78" s="10"/>
      <c r="E78" s="10"/>
      <c r="F78" s="10">
        <v>262741</v>
      </c>
      <c r="G78" s="10">
        <v>329432</v>
      </c>
      <c r="H78" s="10">
        <v>19649</v>
      </c>
      <c r="I78" s="10">
        <v>22101</v>
      </c>
      <c r="J78" s="10"/>
      <c r="K78" s="10"/>
      <c r="L78" s="10"/>
      <c r="M78" s="10"/>
      <c r="N78" s="10"/>
      <c r="O78" s="10"/>
      <c r="P78" s="10"/>
      <c r="Q78" s="10"/>
      <c r="R78" s="10">
        <v>3965.26</v>
      </c>
      <c r="S78" s="10">
        <v>5198.2700000000004</v>
      </c>
      <c r="T78" s="10">
        <v>508</v>
      </c>
      <c r="U78" s="10">
        <v>529</v>
      </c>
      <c r="V78" s="10">
        <v>23268</v>
      </c>
      <c r="W78" s="10">
        <v>25034</v>
      </c>
      <c r="X78" s="10">
        <v>4238</v>
      </c>
      <c r="Y78" s="10">
        <v>4599</v>
      </c>
      <c r="Z78" s="10">
        <v>4610</v>
      </c>
      <c r="AA78" s="10">
        <v>6410</v>
      </c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>
        <v>3056.63</v>
      </c>
      <c r="AM78" s="10">
        <v>22116.59</v>
      </c>
      <c r="AN78" s="10"/>
      <c r="AO78" s="10"/>
      <c r="AP78" s="10"/>
      <c r="AQ78" s="10"/>
      <c r="AR78" s="10">
        <v>42448</v>
      </c>
      <c r="AS78" s="10">
        <v>51895</v>
      </c>
      <c r="AT78" s="10"/>
      <c r="AU78" s="10"/>
      <c r="AV78" s="10">
        <v>9318</v>
      </c>
      <c r="AW78" s="10">
        <v>13279</v>
      </c>
      <c r="AX78" s="10"/>
      <c r="AY78" s="10"/>
      <c r="AZ78" s="10"/>
      <c r="BA78" s="10"/>
      <c r="BB78" s="10">
        <v>8</v>
      </c>
      <c r="BC78" s="10">
        <v>17</v>
      </c>
      <c r="BD78" s="10">
        <v>32118.46</v>
      </c>
      <c r="BE78" s="10">
        <v>32773.57</v>
      </c>
      <c r="BF78" s="10">
        <v>16154</v>
      </c>
      <c r="BG78" s="10">
        <v>28017</v>
      </c>
      <c r="BH78" s="10">
        <v>1153</v>
      </c>
      <c r="BI78" s="10">
        <v>2775</v>
      </c>
      <c r="BJ78" s="10">
        <v>4171</v>
      </c>
      <c r="BK78" s="10">
        <v>5285</v>
      </c>
      <c r="BL78" s="63">
        <f t="shared" si="12"/>
        <v>427406.35000000003</v>
      </c>
      <c r="BM78" s="63">
        <f t="shared" si="13"/>
        <v>549461.43000000005</v>
      </c>
    </row>
    <row r="80" spans="1:65" x14ac:dyDescent="0.25">
      <c r="A80" s="23" t="s">
        <v>188</v>
      </c>
    </row>
    <row r="81" spans="1:65" x14ac:dyDescent="0.25">
      <c r="A81" s="1" t="s">
        <v>0</v>
      </c>
      <c r="B81" s="147" t="s">
        <v>1</v>
      </c>
      <c r="C81" s="148"/>
      <c r="D81" s="147" t="s">
        <v>233</v>
      </c>
      <c r="E81" s="148"/>
      <c r="F81" s="147" t="s">
        <v>2</v>
      </c>
      <c r="G81" s="148"/>
      <c r="H81" s="147" t="s">
        <v>3</v>
      </c>
      <c r="I81" s="148"/>
      <c r="J81" s="147" t="s">
        <v>242</v>
      </c>
      <c r="K81" s="148"/>
      <c r="L81" s="147" t="s">
        <v>234</v>
      </c>
      <c r="M81" s="148"/>
      <c r="N81" s="147" t="s">
        <v>5</v>
      </c>
      <c r="O81" s="148"/>
      <c r="P81" s="147" t="s">
        <v>4</v>
      </c>
      <c r="Q81" s="148"/>
      <c r="R81" s="147" t="s">
        <v>6</v>
      </c>
      <c r="S81" s="148"/>
      <c r="T81" s="147" t="s">
        <v>254</v>
      </c>
      <c r="U81" s="148"/>
      <c r="V81" s="147" t="s">
        <v>7</v>
      </c>
      <c r="W81" s="148"/>
      <c r="X81" s="147" t="s">
        <v>8</v>
      </c>
      <c r="Y81" s="148"/>
      <c r="Z81" s="147" t="s">
        <v>9</v>
      </c>
      <c r="AA81" s="148"/>
      <c r="AB81" s="147" t="s">
        <v>241</v>
      </c>
      <c r="AC81" s="148"/>
      <c r="AD81" s="147" t="s">
        <v>10</v>
      </c>
      <c r="AE81" s="148"/>
      <c r="AF81" s="147" t="s">
        <v>11</v>
      </c>
      <c r="AG81" s="148"/>
      <c r="AH81" s="147" t="s">
        <v>235</v>
      </c>
      <c r="AI81" s="148"/>
      <c r="AJ81" s="147" t="s">
        <v>253</v>
      </c>
      <c r="AK81" s="148"/>
      <c r="AL81" s="147" t="s">
        <v>12</v>
      </c>
      <c r="AM81" s="148"/>
      <c r="AN81" s="147" t="s">
        <v>236</v>
      </c>
      <c r="AO81" s="148"/>
      <c r="AP81" s="147" t="s">
        <v>237</v>
      </c>
      <c r="AQ81" s="148"/>
      <c r="AR81" s="147" t="s">
        <v>240</v>
      </c>
      <c r="AS81" s="148"/>
      <c r="AT81" s="147" t="s">
        <v>13</v>
      </c>
      <c r="AU81" s="148"/>
      <c r="AV81" s="147" t="s">
        <v>14</v>
      </c>
      <c r="AW81" s="148"/>
      <c r="AX81" s="147" t="s">
        <v>15</v>
      </c>
      <c r="AY81" s="148"/>
      <c r="AZ81" s="147" t="s">
        <v>16</v>
      </c>
      <c r="BA81" s="148"/>
      <c r="BB81" s="147" t="s">
        <v>17</v>
      </c>
      <c r="BC81" s="148"/>
      <c r="BD81" s="147" t="s">
        <v>238</v>
      </c>
      <c r="BE81" s="148"/>
      <c r="BF81" s="147" t="s">
        <v>239</v>
      </c>
      <c r="BG81" s="148"/>
      <c r="BH81" s="147" t="s">
        <v>18</v>
      </c>
      <c r="BI81" s="148"/>
      <c r="BJ81" s="147" t="s">
        <v>19</v>
      </c>
      <c r="BK81" s="148"/>
      <c r="BL81" s="149" t="s">
        <v>20</v>
      </c>
      <c r="BM81" s="150"/>
    </row>
    <row r="82" spans="1:65" ht="30" x14ac:dyDescent="0.25">
      <c r="A82" s="1"/>
      <c r="B82" s="53" t="s">
        <v>243</v>
      </c>
      <c r="C82" s="54" t="s">
        <v>244</v>
      </c>
      <c r="D82" s="53" t="s">
        <v>243</v>
      </c>
      <c r="E82" s="54" t="s">
        <v>244</v>
      </c>
      <c r="F82" s="53" t="s">
        <v>243</v>
      </c>
      <c r="G82" s="54" t="s">
        <v>244</v>
      </c>
      <c r="H82" s="53" t="s">
        <v>243</v>
      </c>
      <c r="I82" s="54" t="s">
        <v>244</v>
      </c>
      <c r="J82" s="53" t="s">
        <v>243</v>
      </c>
      <c r="K82" s="54" t="s">
        <v>244</v>
      </c>
      <c r="L82" s="53" t="s">
        <v>243</v>
      </c>
      <c r="M82" s="54" t="s">
        <v>244</v>
      </c>
      <c r="N82" s="53" t="s">
        <v>243</v>
      </c>
      <c r="O82" s="54" t="s">
        <v>244</v>
      </c>
      <c r="P82" s="53" t="s">
        <v>243</v>
      </c>
      <c r="Q82" s="54" t="s">
        <v>244</v>
      </c>
      <c r="R82" s="53" t="s">
        <v>243</v>
      </c>
      <c r="S82" s="54" t="s">
        <v>244</v>
      </c>
      <c r="T82" s="53" t="s">
        <v>243</v>
      </c>
      <c r="U82" s="54" t="s">
        <v>244</v>
      </c>
      <c r="V82" s="53" t="s">
        <v>243</v>
      </c>
      <c r="W82" s="54" t="s">
        <v>244</v>
      </c>
      <c r="X82" s="53" t="s">
        <v>243</v>
      </c>
      <c r="Y82" s="54" t="s">
        <v>244</v>
      </c>
      <c r="Z82" s="53" t="s">
        <v>243</v>
      </c>
      <c r="AA82" s="54" t="s">
        <v>244</v>
      </c>
      <c r="AB82" s="53" t="s">
        <v>243</v>
      </c>
      <c r="AC82" s="54" t="s">
        <v>244</v>
      </c>
      <c r="AD82" s="53" t="s">
        <v>243</v>
      </c>
      <c r="AE82" s="54" t="s">
        <v>244</v>
      </c>
      <c r="AF82" s="53" t="s">
        <v>243</v>
      </c>
      <c r="AG82" s="54" t="s">
        <v>244</v>
      </c>
      <c r="AH82" s="53" t="s">
        <v>243</v>
      </c>
      <c r="AI82" s="54" t="s">
        <v>244</v>
      </c>
      <c r="AJ82" s="53" t="s">
        <v>243</v>
      </c>
      <c r="AK82" s="54" t="s">
        <v>244</v>
      </c>
      <c r="AL82" s="53" t="s">
        <v>243</v>
      </c>
      <c r="AM82" s="54" t="s">
        <v>244</v>
      </c>
      <c r="AN82" s="53" t="s">
        <v>243</v>
      </c>
      <c r="AO82" s="54" t="s">
        <v>244</v>
      </c>
      <c r="AP82" s="53" t="s">
        <v>243</v>
      </c>
      <c r="AQ82" s="54" t="s">
        <v>244</v>
      </c>
      <c r="AR82" s="53" t="s">
        <v>243</v>
      </c>
      <c r="AS82" s="54" t="s">
        <v>244</v>
      </c>
      <c r="AT82" s="53" t="s">
        <v>243</v>
      </c>
      <c r="AU82" s="54" t="s">
        <v>244</v>
      </c>
      <c r="AV82" s="53" t="s">
        <v>243</v>
      </c>
      <c r="AW82" s="54" t="s">
        <v>244</v>
      </c>
      <c r="AX82" s="53" t="s">
        <v>243</v>
      </c>
      <c r="AY82" s="54" t="s">
        <v>244</v>
      </c>
      <c r="AZ82" s="53" t="s">
        <v>243</v>
      </c>
      <c r="BA82" s="54" t="s">
        <v>244</v>
      </c>
      <c r="BB82" s="53" t="s">
        <v>243</v>
      </c>
      <c r="BC82" s="54" t="s">
        <v>244</v>
      </c>
      <c r="BD82" s="53" t="s">
        <v>243</v>
      </c>
      <c r="BE82" s="54" t="s">
        <v>244</v>
      </c>
      <c r="BF82" s="53" t="s">
        <v>243</v>
      </c>
      <c r="BG82" s="54" t="s">
        <v>244</v>
      </c>
      <c r="BH82" s="53" t="s">
        <v>243</v>
      </c>
      <c r="BI82" s="54" t="s">
        <v>244</v>
      </c>
      <c r="BJ82" s="53" t="s">
        <v>243</v>
      </c>
      <c r="BK82" s="54" t="s">
        <v>244</v>
      </c>
      <c r="BL82" s="105" t="s">
        <v>243</v>
      </c>
      <c r="BM82" s="106" t="s">
        <v>244</v>
      </c>
    </row>
    <row r="83" spans="1:65" x14ac:dyDescent="0.25">
      <c r="A83" s="92" t="s">
        <v>291</v>
      </c>
      <c r="B83" s="76"/>
      <c r="C83" s="76"/>
      <c r="D83" s="76"/>
      <c r="E83" s="76"/>
      <c r="F83" s="76"/>
      <c r="G83" s="76"/>
      <c r="H83" s="92">
        <v>318</v>
      </c>
      <c r="I83" s="92">
        <v>987</v>
      </c>
      <c r="J83" s="76"/>
      <c r="K83" s="76"/>
      <c r="L83" s="76"/>
      <c r="M83" s="76"/>
      <c r="N83" s="76"/>
      <c r="O83" s="76"/>
      <c r="P83" s="76"/>
      <c r="Q83" s="76"/>
      <c r="R83" s="92">
        <v>2.96</v>
      </c>
      <c r="S83" s="92">
        <v>11.27</v>
      </c>
      <c r="T83" s="76"/>
      <c r="U83" s="76"/>
      <c r="V83" s="92">
        <v>367</v>
      </c>
      <c r="W83" s="92">
        <v>718</v>
      </c>
      <c r="X83" s="92">
        <v>2648</v>
      </c>
      <c r="Y83" s="92">
        <v>5894</v>
      </c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92">
        <v>2619.7199999999998</v>
      </c>
      <c r="AM83" s="92">
        <v>5623.01</v>
      </c>
      <c r="AN83" s="76"/>
      <c r="AO83" s="76"/>
      <c r="AP83" s="76"/>
      <c r="AQ83" s="76"/>
      <c r="AR83" s="76">
        <v>465</v>
      </c>
      <c r="AS83" s="76">
        <v>2629</v>
      </c>
      <c r="AT83" s="76"/>
      <c r="AU83" s="76"/>
      <c r="AV83" s="92">
        <v>5</v>
      </c>
      <c r="AW83" s="92">
        <v>8</v>
      </c>
      <c r="AX83" s="76"/>
      <c r="AY83" s="76"/>
      <c r="AZ83" s="76"/>
      <c r="BA83" s="76"/>
      <c r="BB83" s="76"/>
      <c r="BC83" s="76"/>
      <c r="BD83" s="92">
        <v>2707.85</v>
      </c>
      <c r="BE83" s="92">
        <v>12596.54</v>
      </c>
      <c r="BF83" s="92">
        <v>3273</v>
      </c>
      <c r="BG83" s="92">
        <v>6445</v>
      </c>
      <c r="BH83" s="92">
        <v>3525</v>
      </c>
      <c r="BI83" s="92">
        <v>6150</v>
      </c>
      <c r="BJ83" s="76"/>
      <c r="BK83" s="76"/>
      <c r="BL83" s="68">
        <f t="shared" ref="BL83:BL89" si="14">SUM(B83+D83+F83+H83+J83+L83+N83+P83+R83+T83+V83+X83+Z83+AB83+AD83+AF83+AH83+AJ83+AL83+AN83+AP83+AR83+AT83+AV83+AX83+AZ83+BB83+BD83+BF83+BH83+BJ83)</f>
        <v>15931.53</v>
      </c>
      <c r="BM83" s="68">
        <f t="shared" ref="BM83:BM89" si="15">SUM(C83+E83+G83+I83+K83+M83+O83+Q83+S83+U83+W83+Y83+AA83+AC83+AE83+AG83+AI83+AK83+AM83+AO83+AQ83+AS83+AU83+AW83+AY83+BA83+BC83+BE83+BG83+BI83+BK83)</f>
        <v>41061.82</v>
      </c>
    </row>
    <row r="84" spans="1:65" x14ac:dyDescent="0.25">
      <c r="A84" s="92" t="s">
        <v>292</v>
      </c>
      <c r="B84" s="76"/>
      <c r="C84" s="76"/>
      <c r="D84" s="76"/>
      <c r="E84" s="76"/>
      <c r="F84" s="76"/>
      <c r="G84" s="76"/>
      <c r="H84" s="92"/>
      <c r="I84" s="92"/>
      <c r="J84" s="76"/>
      <c r="K84" s="76"/>
      <c r="L84" s="76"/>
      <c r="M84" s="76"/>
      <c r="N84" s="76"/>
      <c r="O84" s="76"/>
      <c r="P84" s="76"/>
      <c r="Q84" s="76"/>
      <c r="R84" s="92"/>
      <c r="S84" s="92"/>
      <c r="T84" s="76"/>
      <c r="U84" s="76"/>
      <c r="V84" s="92"/>
      <c r="W84" s="92"/>
      <c r="X84" s="92">
        <v>72</v>
      </c>
      <c r="Y84" s="92">
        <v>420</v>
      </c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92">
        <v>2199.34</v>
      </c>
      <c r="AM84" s="92">
        <v>4369.12</v>
      </c>
      <c r="AN84" s="76"/>
      <c r="AO84" s="76"/>
      <c r="AP84" s="76"/>
      <c r="AQ84" s="76"/>
      <c r="AR84" s="76"/>
      <c r="AS84" s="76"/>
      <c r="AT84" s="76"/>
      <c r="AU84" s="76"/>
      <c r="AV84" s="92"/>
      <c r="AW84" s="92"/>
      <c r="AX84" s="76"/>
      <c r="AY84" s="76"/>
      <c r="AZ84" s="76"/>
      <c r="BA84" s="76"/>
      <c r="BB84" s="76"/>
      <c r="BC84" s="76"/>
      <c r="BD84" s="92">
        <v>788.38</v>
      </c>
      <c r="BE84" s="92">
        <v>3100.45</v>
      </c>
      <c r="BF84" s="92">
        <v>3725</v>
      </c>
      <c r="BG84" s="92">
        <v>8889</v>
      </c>
      <c r="BH84" s="92">
        <v>414</v>
      </c>
      <c r="BI84" s="92">
        <v>1010</v>
      </c>
      <c r="BJ84" s="76"/>
      <c r="BK84" s="76"/>
      <c r="BL84" s="68">
        <f t="shared" si="14"/>
        <v>7198.72</v>
      </c>
      <c r="BM84" s="68">
        <f t="shared" si="15"/>
        <v>17788.57</v>
      </c>
    </row>
    <row r="85" spans="1:65" x14ac:dyDescent="0.25">
      <c r="A85" s="92" t="s">
        <v>293</v>
      </c>
      <c r="B85" s="76"/>
      <c r="C85" s="76"/>
      <c r="D85" s="76"/>
      <c r="E85" s="76"/>
      <c r="F85" s="76"/>
      <c r="G85" s="76"/>
      <c r="H85" s="92">
        <v>-401</v>
      </c>
      <c r="I85" s="92">
        <v>-1023</v>
      </c>
      <c r="J85" s="76"/>
      <c r="K85" s="76"/>
      <c r="L85" s="76"/>
      <c r="M85" s="76"/>
      <c r="N85" s="76"/>
      <c r="O85" s="76"/>
      <c r="P85" s="76"/>
      <c r="Q85" s="76"/>
      <c r="R85" s="92">
        <v>0.15</v>
      </c>
      <c r="S85" s="92">
        <v>0.56000000000000005</v>
      </c>
      <c r="T85" s="76"/>
      <c r="U85" s="76"/>
      <c r="V85" s="92">
        <v>-366</v>
      </c>
      <c r="W85" s="92">
        <v>-717</v>
      </c>
      <c r="X85" s="92">
        <v>2448</v>
      </c>
      <c r="Y85" s="92">
        <v>5488</v>
      </c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92">
        <v>2739.22</v>
      </c>
      <c r="AM85" s="92">
        <v>5795.71</v>
      </c>
      <c r="AN85" s="76"/>
      <c r="AO85" s="76"/>
      <c r="AP85" s="76"/>
      <c r="AQ85" s="76"/>
      <c r="AR85" s="76">
        <v>459</v>
      </c>
      <c r="AS85" s="76">
        <v>1970</v>
      </c>
      <c r="AT85" s="76"/>
      <c r="AU85" s="76"/>
      <c r="AV85" s="92">
        <v>5</v>
      </c>
      <c r="AW85" s="92">
        <v>8</v>
      </c>
      <c r="AX85" s="76"/>
      <c r="AY85" s="76"/>
      <c r="AZ85" s="76"/>
      <c r="BA85" s="76"/>
      <c r="BB85" s="76"/>
      <c r="BC85" s="76"/>
      <c r="BD85" s="92">
        <v>2894.78</v>
      </c>
      <c r="BE85" s="92">
        <v>11261.84</v>
      </c>
      <c r="BF85" s="92">
        <v>3509</v>
      </c>
      <c r="BG85" s="92">
        <v>6492</v>
      </c>
      <c r="BH85" s="92">
        <v>3383</v>
      </c>
      <c r="BI85" s="92">
        <v>5888</v>
      </c>
      <c r="BJ85" s="76"/>
      <c r="BK85" s="76"/>
      <c r="BL85" s="68">
        <f t="shared" si="14"/>
        <v>14671.15</v>
      </c>
      <c r="BM85" s="68">
        <f t="shared" si="15"/>
        <v>35164.11</v>
      </c>
    </row>
    <row r="86" spans="1:65" s="7" customFormat="1" x14ac:dyDescent="0.25">
      <c r="A86" s="10" t="s">
        <v>294</v>
      </c>
      <c r="B86" s="10"/>
      <c r="C86" s="10"/>
      <c r="D86" s="10"/>
      <c r="E86" s="10"/>
      <c r="F86" s="10"/>
      <c r="G86" s="10"/>
      <c r="H86" s="10">
        <v>-83</v>
      </c>
      <c r="I86" s="10">
        <v>-36</v>
      </c>
      <c r="J86" s="10"/>
      <c r="K86" s="10"/>
      <c r="L86" s="10"/>
      <c r="M86" s="10"/>
      <c r="N86" s="10"/>
      <c r="O86" s="10"/>
      <c r="P86" s="10"/>
      <c r="Q86" s="10"/>
      <c r="R86" s="10">
        <v>2.81</v>
      </c>
      <c r="S86" s="10">
        <v>10.71</v>
      </c>
      <c r="T86" s="10"/>
      <c r="U86" s="10"/>
      <c r="V86" s="10">
        <v>1</v>
      </c>
      <c r="W86" s="10">
        <v>1</v>
      </c>
      <c r="X86" s="10">
        <v>272</v>
      </c>
      <c r="Y86" s="10">
        <v>826</v>
      </c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>
        <v>2079.84</v>
      </c>
      <c r="AM86" s="10">
        <v>4196.41</v>
      </c>
      <c r="AN86" s="10"/>
      <c r="AO86" s="10"/>
      <c r="AP86" s="10"/>
      <c r="AQ86" s="10"/>
      <c r="AR86" s="10">
        <v>6</v>
      </c>
      <c r="AS86" s="10">
        <v>660</v>
      </c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>
        <v>601.45000000000005</v>
      </c>
      <c r="BE86" s="10">
        <v>4435.1400000000003</v>
      </c>
      <c r="BF86" s="10">
        <v>3489</v>
      </c>
      <c r="BG86" s="10">
        <v>8843</v>
      </c>
      <c r="BH86" s="10">
        <v>556</v>
      </c>
      <c r="BI86" s="10">
        <v>1271</v>
      </c>
      <c r="BJ86" s="10"/>
      <c r="BK86" s="10"/>
      <c r="BL86" s="63">
        <f t="shared" si="14"/>
        <v>6925.1</v>
      </c>
      <c r="BM86" s="63">
        <f t="shared" si="15"/>
        <v>20207.260000000002</v>
      </c>
    </row>
    <row r="87" spans="1:65" x14ac:dyDescent="0.25">
      <c r="A87" s="92" t="s">
        <v>295</v>
      </c>
      <c r="B87" s="92"/>
      <c r="C87" s="92"/>
      <c r="D87" s="92"/>
      <c r="E87" s="92"/>
      <c r="F87" s="92"/>
      <c r="G87" s="92"/>
      <c r="H87" s="92">
        <v>11</v>
      </c>
      <c r="I87" s="92">
        <v>3</v>
      </c>
      <c r="J87" s="92"/>
      <c r="K87" s="92"/>
      <c r="L87" s="92"/>
      <c r="M87" s="92"/>
      <c r="N87" s="92"/>
      <c r="O87" s="92"/>
      <c r="P87" s="92"/>
      <c r="Q87" s="92"/>
      <c r="R87" s="92">
        <v>222.84</v>
      </c>
      <c r="S87" s="92">
        <v>326.04000000000002</v>
      </c>
      <c r="T87" s="92"/>
      <c r="U87" s="92"/>
      <c r="V87" s="92"/>
      <c r="W87" s="92"/>
      <c r="X87" s="92">
        <v>1103</v>
      </c>
      <c r="Y87" s="92">
        <v>1195</v>
      </c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>
        <v>2657.89</v>
      </c>
      <c r="AM87" s="92">
        <v>2701.3</v>
      </c>
      <c r="AN87" s="92"/>
      <c r="AO87" s="92"/>
      <c r="AP87" s="92"/>
      <c r="AQ87" s="92"/>
      <c r="AR87" s="92">
        <v>335</v>
      </c>
      <c r="AS87" s="92">
        <v>6</v>
      </c>
      <c r="AT87" s="92"/>
      <c r="AU87" s="92"/>
      <c r="AV87" s="92"/>
      <c r="AW87" s="92"/>
      <c r="AX87" s="92"/>
      <c r="AY87" s="92"/>
      <c r="AZ87" s="92"/>
      <c r="BA87" s="92"/>
      <c r="BB87" s="92"/>
      <c r="BC87" s="92"/>
      <c r="BD87" s="92"/>
      <c r="BE87" s="92"/>
      <c r="BF87" s="92">
        <v>0</v>
      </c>
      <c r="BG87" s="92"/>
      <c r="BH87" s="92">
        <v>1016</v>
      </c>
      <c r="BI87" s="92">
        <v>690</v>
      </c>
      <c r="BJ87" s="92"/>
      <c r="BK87" s="92"/>
      <c r="BL87" s="68">
        <f t="shared" si="14"/>
        <v>5345.73</v>
      </c>
      <c r="BM87" s="68">
        <f t="shared" si="15"/>
        <v>4921.34</v>
      </c>
    </row>
    <row r="88" spans="1:65" x14ac:dyDescent="0.25">
      <c r="A88" s="2" t="s">
        <v>296</v>
      </c>
      <c r="B88" s="92"/>
      <c r="C88" s="92"/>
      <c r="D88" s="92"/>
      <c r="E88" s="92"/>
      <c r="F88" s="92"/>
      <c r="G88" s="92"/>
      <c r="H88" s="92">
        <v>10</v>
      </c>
      <c r="I88" s="92">
        <v>10</v>
      </c>
      <c r="J88" s="92"/>
      <c r="K88" s="92"/>
      <c r="L88" s="92"/>
      <c r="M88" s="92"/>
      <c r="N88" s="92"/>
      <c r="O88" s="92"/>
      <c r="P88" s="92"/>
      <c r="Q88" s="92"/>
      <c r="R88" s="92">
        <v>113.58</v>
      </c>
      <c r="S88" s="92">
        <v>113.58</v>
      </c>
      <c r="T88" s="92"/>
      <c r="U88" s="92"/>
      <c r="V88" s="92">
        <v>-1</v>
      </c>
      <c r="W88" s="92">
        <v>-1</v>
      </c>
      <c r="X88" s="92">
        <v>702</v>
      </c>
      <c r="Y88" s="92">
        <v>702</v>
      </c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>
        <v>3667.54</v>
      </c>
      <c r="AM88" s="92">
        <v>3667.54</v>
      </c>
      <c r="AN88" s="92"/>
      <c r="AO88" s="92"/>
      <c r="AP88" s="92"/>
      <c r="AQ88" s="92"/>
      <c r="AR88" s="92">
        <v>172</v>
      </c>
      <c r="AS88" s="92">
        <v>172</v>
      </c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  <c r="BE88" s="92"/>
      <c r="BF88" s="92">
        <v>855</v>
      </c>
      <c r="BG88" s="92">
        <v>921</v>
      </c>
      <c r="BH88" s="92">
        <v>1094</v>
      </c>
      <c r="BI88" s="92">
        <v>1094</v>
      </c>
      <c r="BJ88" s="92"/>
      <c r="BK88" s="92"/>
      <c r="BL88" s="68">
        <f t="shared" si="14"/>
        <v>6613.12</v>
      </c>
      <c r="BM88" s="68">
        <f t="shared" si="15"/>
        <v>6679.12</v>
      </c>
    </row>
    <row r="89" spans="1:65" s="7" customFormat="1" x14ac:dyDescent="0.25">
      <c r="A89" s="10" t="s">
        <v>192</v>
      </c>
      <c r="B89" s="10"/>
      <c r="C89" s="10"/>
      <c r="D89" s="10"/>
      <c r="E89" s="10"/>
      <c r="F89" s="10"/>
      <c r="G89" s="10"/>
      <c r="H89" s="10">
        <v>-82</v>
      </c>
      <c r="I89" s="10">
        <v>-44</v>
      </c>
      <c r="J89" s="10"/>
      <c r="K89" s="10"/>
      <c r="L89" s="10"/>
      <c r="M89" s="10"/>
      <c r="N89" s="10"/>
      <c r="O89" s="10"/>
      <c r="P89" s="10"/>
      <c r="Q89" s="10"/>
      <c r="R89" s="10">
        <v>112.07</v>
      </c>
      <c r="S89" s="10">
        <v>223.17</v>
      </c>
      <c r="T89" s="10"/>
      <c r="U89" s="10"/>
      <c r="V89" s="10"/>
      <c r="W89" s="10"/>
      <c r="X89" s="10">
        <v>673</v>
      </c>
      <c r="Y89" s="10">
        <v>1319</v>
      </c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>
        <v>1070.19</v>
      </c>
      <c r="AM89" s="10">
        <v>3230.18</v>
      </c>
      <c r="AN89" s="10"/>
      <c r="AO89" s="10"/>
      <c r="AP89" s="10"/>
      <c r="AQ89" s="10"/>
      <c r="AR89" s="10">
        <v>168</v>
      </c>
      <c r="AS89" s="10">
        <v>493</v>
      </c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>
        <v>2520.84</v>
      </c>
      <c r="BE89" s="10">
        <v>6745.35</v>
      </c>
      <c r="BF89" s="10">
        <v>2633</v>
      </c>
      <c r="BG89" s="10">
        <v>7922</v>
      </c>
      <c r="BH89" s="10">
        <v>478</v>
      </c>
      <c r="BI89" s="10">
        <v>867</v>
      </c>
      <c r="BJ89" s="10"/>
      <c r="BK89" s="10"/>
      <c r="BL89" s="63">
        <f t="shared" si="14"/>
        <v>7573.1</v>
      </c>
      <c r="BM89" s="63">
        <f t="shared" si="15"/>
        <v>20755.7</v>
      </c>
    </row>
    <row r="91" spans="1:65" x14ac:dyDescent="0.25">
      <c r="A91" s="23" t="s">
        <v>189</v>
      </c>
    </row>
    <row r="92" spans="1:65" x14ac:dyDescent="0.25">
      <c r="A92" s="1" t="s">
        <v>0</v>
      </c>
      <c r="B92" s="147" t="s">
        <v>1</v>
      </c>
      <c r="C92" s="148"/>
      <c r="D92" s="147" t="s">
        <v>233</v>
      </c>
      <c r="E92" s="148"/>
      <c r="F92" s="147" t="s">
        <v>2</v>
      </c>
      <c r="G92" s="148"/>
      <c r="H92" s="147" t="s">
        <v>3</v>
      </c>
      <c r="I92" s="148"/>
      <c r="J92" s="147" t="s">
        <v>242</v>
      </c>
      <c r="K92" s="148"/>
      <c r="L92" s="147" t="s">
        <v>234</v>
      </c>
      <c r="M92" s="148"/>
      <c r="N92" s="147" t="s">
        <v>5</v>
      </c>
      <c r="O92" s="148"/>
      <c r="P92" s="147" t="s">
        <v>4</v>
      </c>
      <c r="Q92" s="148"/>
      <c r="R92" s="147" t="s">
        <v>6</v>
      </c>
      <c r="S92" s="148"/>
      <c r="T92" s="147" t="s">
        <v>254</v>
      </c>
      <c r="U92" s="148"/>
      <c r="V92" s="147" t="s">
        <v>7</v>
      </c>
      <c r="W92" s="148"/>
      <c r="X92" s="147" t="s">
        <v>8</v>
      </c>
      <c r="Y92" s="148"/>
      <c r="Z92" s="147" t="s">
        <v>9</v>
      </c>
      <c r="AA92" s="148"/>
      <c r="AB92" s="147" t="s">
        <v>241</v>
      </c>
      <c r="AC92" s="148"/>
      <c r="AD92" s="147" t="s">
        <v>10</v>
      </c>
      <c r="AE92" s="148"/>
      <c r="AF92" s="147" t="s">
        <v>11</v>
      </c>
      <c r="AG92" s="148"/>
      <c r="AH92" s="147" t="s">
        <v>235</v>
      </c>
      <c r="AI92" s="148"/>
      <c r="AJ92" s="147" t="s">
        <v>253</v>
      </c>
      <c r="AK92" s="148"/>
      <c r="AL92" s="147" t="s">
        <v>12</v>
      </c>
      <c r="AM92" s="148"/>
      <c r="AN92" s="147" t="s">
        <v>236</v>
      </c>
      <c r="AO92" s="148"/>
      <c r="AP92" s="147" t="s">
        <v>237</v>
      </c>
      <c r="AQ92" s="148"/>
      <c r="AR92" s="147" t="s">
        <v>240</v>
      </c>
      <c r="AS92" s="148"/>
      <c r="AT92" s="147" t="s">
        <v>13</v>
      </c>
      <c r="AU92" s="148"/>
      <c r="AV92" s="147" t="s">
        <v>14</v>
      </c>
      <c r="AW92" s="148"/>
      <c r="AX92" s="147" t="s">
        <v>15</v>
      </c>
      <c r="AY92" s="148"/>
      <c r="AZ92" s="147" t="s">
        <v>16</v>
      </c>
      <c r="BA92" s="148"/>
      <c r="BB92" s="147" t="s">
        <v>17</v>
      </c>
      <c r="BC92" s="148"/>
      <c r="BD92" s="147" t="s">
        <v>238</v>
      </c>
      <c r="BE92" s="148"/>
      <c r="BF92" s="147" t="s">
        <v>239</v>
      </c>
      <c r="BG92" s="148"/>
      <c r="BH92" s="147" t="s">
        <v>18</v>
      </c>
      <c r="BI92" s="148"/>
      <c r="BJ92" s="147" t="s">
        <v>19</v>
      </c>
      <c r="BK92" s="148"/>
      <c r="BL92" s="149" t="s">
        <v>20</v>
      </c>
      <c r="BM92" s="150"/>
    </row>
    <row r="93" spans="1:65" ht="30" x14ac:dyDescent="0.25">
      <c r="A93" s="1"/>
      <c r="B93" s="53" t="s">
        <v>243</v>
      </c>
      <c r="C93" s="54" t="s">
        <v>244</v>
      </c>
      <c r="D93" s="53" t="s">
        <v>243</v>
      </c>
      <c r="E93" s="54" t="s">
        <v>244</v>
      </c>
      <c r="F93" s="53" t="s">
        <v>243</v>
      </c>
      <c r="G93" s="54" t="s">
        <v>244</v>
      </c>
      <c r="H93" s="53" t="s">
        <v>243</v>
      </c>
      <c r="I93" s="54" t="s">
        <v>244</v>
      </c>
      <c r="J93" s="53" t="s">
        <v>243</v>
      </c>
      <c r="K93" s="54" t="s">
        <v>244</v>
      </c>
      <c r="L93" s="53" t="s">
        <v>243</v>
      </c>
      <c r="M93" s="54" t="s">
        <v>244</v>
      </c>
      <c r="N93" s="53" t="s">
        <v>243</v>
      </c>
      <c r="O93" s="54" t="s">
        <v>244</v>
      </c>
      <c r="P93" s="53" t="s">
        <v>243</v>
      </c>
      <c r="Q93" s="54" t="s">
        <v>244</v>
      </c>
      <c r="R93" s="53" t="s">
        <v>243</v>
      </c>
      <c r="S93" s="54" t="s">
        <v>244</v>
      </c>
      <c r="T93" s="53" t="s">
        <v>243</v>
      </c>
      <c r="U93" s="54" t="s">
        <v>244</v>
      </c>
      <c r="V93" s="53" t="s">
        <v>243</v>
      </c>
      <c r="W93" s="54" t="s">
        <v>244</v>
      </c>
      <c r="X93" s="53" t="s">
        <v>243</v>
      </c>
      <c r="Y93" s="54" t="s">
        <v>244</v>
      </c>
      <c r="Z93" s="53" t="s">
        <v>243</v>
      </c>
      <c r="AA93" s="54" t="s">
        <v>244</v>
      </c>
      <c r="AB93" s="53" t="s">
        <v>243</v>
      </c>
      <c r="AC93" s="54" t="s">
        <v>244</v>
      </c>
      <c r="AD93" s="53" t="s">
        <v>243</v>
      </c>
      <c r="AE93" s="54" t="s">
        <v>244</v>
      </c>
      <c r="AF93" s="53" t="s">
        <v>243</v>
      </c>
      <c r="AG93" s="54" t="s">
        <v>244</v>
      </c>
      <c r="AH93" s="53" t="s">
        <v>243</v>
      </c>
      <c r="AI93" s="54" t="s">
        <v>244</v>
      </c>
      <c r="AJ93" s="53" t="s">
        <v>243</v>
      </c>
      <c r="AK93" s="54" t="s">
        <v>244</v>
      </c>
      <c r="AL93" s="53" t="s">
        <v>243</v>
      </c>
      <c r="AM93" s="54" t="s">
        <v>244</v>
      </c>
      <c r="AN93" s="53" t="s">
        <v>243</v>
      </c>
      <c r="AO93" s="54" t="s">
        <v>244</v>
      </c>
      <c r="AP93" s="53" t="s">
        <v>243</v>
      </c>
      <c r="AQ93" s="54" t="s">
        <v>244</v>
      </c>
      <c r="AR93" s="53" t="s">
        <v>243</v>
      </c>
      <c r="AS93" s="54" t="s">
        <v>244</v>
      </c>
      <c r="AT93" s="53" t="s">
        <v>243</v>
      </c>
      <c r="AU93" s="54" t="s">
        <v>244</v>
      </c>
      <c r="AV93" s="53" t="s">
        <v>243</v>
      </c>
      <c r="AW93" s="54" t="s">
        <v>244</v>
      </c>
      <c r="AX93" s="53" t="s">
        <v>243</v>
      </c>
      <c r="AY93" s="54" t="s">
        <v>244</v>
      </c>
      <c r="AZ93" s="53" t="s">
        <v>243</v>
      </c>
      <c r="BA93" s="54" t="s">
        <v>244</v>
      </c>
      <c r="BB93" s="53" t="s">
        <v>243</v>
      </c>
      <c r="BC93" s="54" t="s">
        <v>244</v>
      </c>
      <c r="BD93" s="53" t="s">
        <v>243</v>
      </c>
      <c r="BE93" s="54" t="s">
        <v>244</v>
      </c>
      <c r="BF93" s="53" t="s">
        <v>243</v>
      </c>
      <c r="BG93" s="54" t="s">
        <v>244</v>
      </c>
      <c r="BH93" s="53" t="s">
        <v>243</v>
      </c>
      <c r="BI93" s="54" t="s">
        <v>244</v>
      </c>
      <c r="BJ93" s="53" t="s">
        <v>243</v>
      </c>
      <c r="BK93" s="54" t="s">
        <v>244</v>
      </c>
      <c r="BL93" s="105" t="s">
        <v>243</v>
      </c>
      <c r="BM93" s="106" t="s">
        <v>244</v>
      </c>
    </row>
    <row r="94" spans="1:65" x14ac:dyDescent="0.25">
      <c r="A94" s="92" t="s">
        <v>291</v>
      </c>
      <c r="B94" s="76">
        <f t="shared" ref="B94:AE94" si="16">B105-B83-B72-B61-B50-B39-B28-B17-B6</f>
        <v>2174</v>
      </c>
      <c r="C94" s="76">
        <f t="shared" si="16"/>
        <v>3411</v>
      </c>
      <c r="D94" s="76">
        <f t="shared" si="16"/>
        <v>0</v>
      </c>
      <c r="E94" s="76">
        <f t="shared" si="16"/>
        <v>0</v>
      </c>
      <c r="F94" s="76">
        <f t="shared" si="16"/>
        <v>0</v>
      </c>
      <c r="G94" s="76">
        <f t="shared" si="16"/>
        <v>0</v>
      </c>
      <c r="H94" s="76">
        <f t="shared" si="16"/>
        <v>26026</v>
      </c>
      <c r="I94" s="76">
        <f t="shared" si="16"/>
        <v>54659</v>
      </c>
      <c r="J94" s="76">
        <f t="shared" si="16"/>
        <v>-1.4551915228366852E-11</v>
      </c>
      <c r="K94" s="76">
        <f t="shared" si="16"/>
        <v>0</v>
      </c>
      <c r="L94" s="76">
        <f t="shared" si="16"/>
        <v>2030</v>
      </c>
      <c r="M94" s="76">
        <f t="shared" si="16"/>
        <v>3214</v>
      </c>
      <c r="N94" s="76">
        <f t="shared" si="16"/>
        <v>26757.200000000001</v>
      </c>
      <c r="O94" s="76">
        <f t="shared" si="16"/>
        <v>46105.71</v>
      </c>
      <c r="P94" s="76">
        <f t="shared" si="16"/>
        <v>174.89000000000087</v>
      </c>
      <c r="Q94" s="76">
        <f t="shared" si="16"/>
        <v>212.86999999999932</v>
      </c>
      <c r="R94" s="76">
        <f t="shared" si="16"/>
        <v>7675.5199999999904</v>
      </c>
      <c r="S94" s="76">
        <f t="shared" ref="S94" si="17">S105-S83-S72-S61-S50-S39-S28-S17-S6</f>
        <v>14015.960000000028</v>
      </c>
      <c r="T94" s="76">
        <f t="shared" si="16"/>
        <v>5010</v>
      </c>
      <c r="U94" s="76">
        <f t="shared" si="16"/>
        <v>12571</v>
      </c>
      <c r="V94" s="76">
        <f t="shared" si="16"/>
        <v>18270</v>
      </c>
      <c r="W94" s="76">
        <f t="shared" si="16"/>
        <v>31939</v>
      </c>
      <c r="X94" s="76">
        <f t="shared" si="16"/>
        <v>24097</v>
      </c>
      <c r="Y94" s="76">
        <f t="shared" si="16"/>
        <v>53680</v>
      </c>
      <c r="Z94" s="76">
        <f t="shared" si="16"/>
        <v>17180</v>
      </c>
      <c r="AA94" s="76">
        <f t="shared" si="16"/>
        <v>32630</v>
      </c>
      <c r="AB94" s="76">
        <f t="shared" si="16"/>
        <v>235</v>
      </c>
      <c r="AC94" s="76">
        <f t="shared" si="16"/>
        <v>387</v>
      </c>
      <c r="AD94" s="76">
        <f t="shared" si="16"/>
        <v>1433.5899999999979</v>
      </c>
      <c r="AE94" s="76">
        <f t="shared" si="16"/>
        <v>3700.7299999999932</v>
      </c>
      <c r="AF94" s="76">
        <f t="shared" ref="AF94" si="18">AF105-AF83-AF72-AF61-AF50-AF39-AF28-AF17-AF6</f>
        <v>1237.3399999999979</v>
      </c>
      <c r="AG94" s="76">
        <f t="shared" ref="AG94:BK94" si="19">AG105-AG83-AG72-AG61-AG50-AG39-AG28-AG17-AG6</f>
        <v>2467.7800000000061</v>
      </c>
      <c r="AH94" s="76">
        <f t="shared" si="19"/>
        <v>79.659999999999854</v>
      </c>
      <c r="AI94" s="76">
        <f t="shared" si="19"/>
        <v>185.05000000000291</v>
      </c>
      <c r="AJ94" s="76">
        <f t="shared" si="19"/>
        <v>1.4551915228366852E-11</v>
      </c>
      <c r="AK94" s="76">
        <f t="shared" si="19"/>
        <v>0</v>
      </c>
      <c r="AL94" s="76">
        <f t="shared" si="19"/>
        <v>9646.9300000000112</v>
      </c>
      <c r="AM94" s="76">
        <f t="shared" si="19"/>
        <v>23480.730000000025</v>
      </c>
      <c r="AN94" s="76">
        <f t="shared" si="19"/>
        <v>77</v>
      </c>
      <c r="AO94" s="76">
        <f t="shared" si="19"/>
        <v>142</v>
      </c>
      <c r="AP94" s="76">
        <f t="shared" si="19"/>
        <v>2152</v>
      </c>
      <c r="AQ94" s="76">
        <f t="shared" si="19"/>
        <v>3879</v>
      </c>
      <c r="AR94" s="76">
        <f t="shared" si="19"/>
        <v>3784</v>
      </c>
      <c r="AS94" s="76">
        <f t="shared" si="19"/>
        <v>8010</v>
      </c>
      <c r="AT94" s="76">
        <f t="shared" si="19"/>
        <v>553.700000000008</v>
      </c>
      <c r="AU94" s="76">
        <f t="shared" si="19"/>
        <v>1168.8500000000058</v>
      </c>
      <c r="AV94" s="76">
        <f t="shared" si="19"/>
        <v>5045</v>
      </c>
      <c r="AW94" s="76">
        <f t="shared" si="19"/>
        <v>10986</v>
      </c>
      <c r="AX94" s="76">
        <f t="shared" si="19"/>
        <v>412</v>
      </c>
      <c r="AY94" s="76">
        <f t="shared" si="19"/>
        <v>771</v>
      </c>
      <c r="AZ94" s="76">
        <f t="shared" si="19"/>
        <v>1</v>
      </c>
      <c r="BA94" s="76">
        <f t="shared" si="19"/>
        <v>0</v>
      </c>
      <c r="BB94" s="76">
        <f t="shared" si="19"/>
        <v>17460</v>
      </c>
      <c r="BC94" s="76">
        <f t="shared" si="19"/>
        <v>35258</v>
      </c>
      <c r="BD94" s="76">
        <f t="shared" si="19"/>
        <v>50553.290000000066</v>
      </c>
      <c r="BE94" s="76">
        <f t="shared" si="19"/>
        <v>103011.68</v>
      </c>
      <c r="BF94" s="76">
        <f t="shared" si="19"/>
        <v>15572</v>
      </c>
      <c r="BG94" s="76">
        <f t="shared" si="19"/>
        <v>29521</v>
      </c>
      <c r="BH94" s="76">
        <f t="shared" si="19"/>
        <v>17427</v>
      </c>
      <c r="BI94" s="76">
        <f t="shared" si="19"/>
        <v>34439</v>
      </c>
      <c r="BJ94" s="76">
        <f t="shared" si="19"/>
        <v>1165</v>
      </c>
      <c r="BK94" s="76">
        <f t="shared" si="19"/>
        <v>2170</v>
      </c>
      <c r="BL94" s="68">
        <f t="shared" ref="BL94:BL100" si="20">SUM(B94+D94+F94+H94+J94+L94+N94+P94+R94+T94+V94+X94+Z94+AB94+AD94+AF94+AH94+AJ94+AL94+AN94+AP94+AR94+AT94+AV94+AX94+AZ94+BB94+BD94+BF94+BH94+BJ94)</f>
        <v>256229.12000000011</v>
      </c>
      <c r="BM94" s="68">
        <f t="shared" ref="BM94:BM100" si="21">SUM(C94+E94+G94+I94+K94+M94+O94+Q94+S94+U94+W94+Y94+AA94+AC94+AE94+AG94+AI94+AK94+AM94+AO94+AQ94+AS94+AU94+AW94+AY94+BA94+BC94+BE94+BG94+BI94+BK94)</f>
        <v>512016.36000000004</v>
      </c>
    </row>
    <row r="95" spans="1:65" x14ac:dyDescent="0.25">
      <c r="A95" s="92" t="s">
        <v>292</v>
      </c>
      <c r="B95" s="76">
        <f t="shared" ref="B95:AE95" si="22">B106-B84-B73-B62-B51-B40-B29-B18-B7</f>
        <v>0</v>
      </c>
      <c r="C95" s="76">
        <f t="shared" si="22"/>
        <v>0</v>
      </c>
      <c r="D95" s="76">
        <f t="shared" si="22"/>
        <v>0</v>
      </c>
      <c r="E95" s="76">
        <f t="shared" si="22"/>
        <v>0</v>
      </c>
      <c r="F95" s="76">
        <f t="shared" si="22"/>
        <v>0</v>
      </c>
      <c r="G95" s="76">
        <f t="shared" si="22"/>
        <v>0</v>
      </c>
      <c r="H95" s="76">
        <f t="shared" si="22"/>
        <v>72</v>
      </c>
      <c r="I95" s="76">
        <f t="shared" si="22"/>
        <v>72</v>
      </c>
      <c r="J95" s="76">
        <f t="shared" si="22"/>
        <v>0</v>
      </c>
      <c r="K95" s="76">
        <f t="shared" si="22"/>
        <v>0</v>
      </c>
      <c r="L95" s="76">
        <f t="shared" si="22"/>
        <v>104</v>
      </c>
      <c r="M95" s="76">
        <f t="shared" si="22"/>
        <v>104</v>
      </c>
      <c r="N95" s="76">
        <f t="shared" si="22"/>
        <v>0</v>
      </c>
      <c r="O95" s="76">
        <f t="shared" si="22"/>
        <v>0</v>
      </c>
      <c r="P95" s="76">
        <f t="shared" si="22"/>
        <v>1.999999999998181E-2</v>
      </c>
      <c r="Q95" s="76">
        <f t="shared" si="22"/>
        <v>9.9999999999909051E-3</v>
      </c>
      <c r="R95" s="76">
        <f t="shared" si="22"/>
        <v>83.700000000000045</v>
      </c>
      <c r="S95" s="76">
        <f t="shared" ref="S95" si="23">S106-S84-S73-S62-S51-S40-S29-S18-S7</f>
        <v>131.32999999999993</v>
      </c>
      <c r="T95" s="76">
        <f t="shared" si="22"/>
        <v>270</v>
      </c>
      <c r="U95" s="76">
        <f t="shared" si="22"/>
        <v>581</v>
      </c>
      <c r="V95" s="76">
        <f t="shared" si="22"/>
        <v>661</v>
      </c>
      <c r="W95" s="76">
        <f t="shared" si="22"/>
        <v>1455</v>
      </c>
      <c r="X95" s="76">
        <f t="shared" si="22"/>
        <v>-538</v>
      </c>
      <c r="Y95" s="76">
        <f t="shared" si="22"/>
        <v>150</v>
      </c>
      <c r="Z95" s="76">
        <f t="shared" si="22"/>
        <v>545</v>
      </c>
      <c r="AA95" s="76">
        <f t="shared" si="22"/>
        <v>655</v>
      </c>
      <c r="AB95" s="76">
        <f t="shared" si="22"/>
        <v>1</v>
      </c>
      <c r="AC95" s="76">
        <f t="shared" si="22"/>
        <v>18</v>
      </c>
      <c r="AD95" s="76">
        <f t="shared" si="22"/>
        <v>28.420000000000016</v>
      </c>
      <c r="AE95" s="76">
        <f t="shared" si="22"/>
        <v>66.739999999999952</v>
      </c>
      <c r="AF95" s="76">
        <f t="shared" ref="AF95" si="24">AF106-AF84-AF73-AF62-AF51-AF40-AF29-AF18-AF7</f>
        <v>63.659999999999968</v>
      </c>
      <c r="AG95" s="76">
        <f t="shared" ref="AG95:BK95" si="25">AG106-AG84-AG73-AG62-AG51-AG40-AG29-AG18-AG7</f>
        <v>86.160000000000309</v>
      </c>
      <c r="AH95" s="76">
        <f t="shared" si="25"/>
        <v>0</v>
      </c>
      <c r="AI95" s="76">
        <f t="shared" si="25"/>
        <v>0</v>
      </c>
      <c r="AJ95" s="76">
        <f t="shared" si="25"/>
        <v>0</v>
      </c>
      <c r="AK95" s="76">
        <f t="shared" si="25"/>
        <v>0</v>
      </c>
      <c r="AL95" s="76">
        <f t="shared" si="25"/>
        <v>740.8799999999992</v>
      </c>
      <c r="AM95" s="76">
        <f t="shared" si="25"/>
        <v>1006.8600000000006</v>
      </c>
      <c r="AN95" s="76">
        <f t="shared" si="25"/>
        <v>0</v>
      </c>
      <c r="AO95" s="76">
        <f t="shared" si="25"/>
        <v>0</v>
      </c>
      <c r="AP95" s="76">
        <f t="shared" si="25"/>
        <v>108</v>
      </c>
      <c r="AQ95" s="76">
        <f t="shared" si="25"/>
        <v>520</v>
      </c>
      <c r="AR95" s="76">
        <f t="shared" si="25"/>
        <v>41</v>
      </c>
      <c r="AS95" s="76">
        <f t="shared" si="25"/>
        <v>42</v>
      </c>
      <c r="AT95" s="76">
        <f t="shared" si="25"/>
        <v>1.8499999999999091</v>
      </c>
      <c r="AU95" s="76">
        <f t="shared" si="25"/>
        <v>2.0799999999990177</v>
      </c>
      <c r="AV95" s="76">
        <f t="shared" si="25"/>
        <v>264</v>
      </c>
      <c r="AW95" s="76">
        <f t="shared" si="25"/>
        <v>361</v>
      </c>
      <c r="AX95" s="76">
        <f t="shared" si="25"/>
        <v>0</v>
      </c>
      <c r="AY95" s="76">
        <f t="shared" si="25"/>
        <v>0</v>
      </c>
      <c r="AZ95" s="76">
        <f t="shared" si="25"/>
        <v>0</v>
      </c>
      <c r="BA95" s="76">
        <f t="shared" si="25"/>
        <v>0</v>
      </c>
      <c r="BB95" s="76">
        <f t="shared" si="25"/>
        <v>1548</v>
      </c>
      <c r="BC95" s="76">
        <f t="shared" si="25"/>
        <v>2461</v>
      </c>
      <c r="BD95" s="76">
        <f t="shared" si="25"/>
        <v>122.98999999999796</v>
      </c>
      <c r="BE95" s="76">
        <f t="shared" si="25"/>
        <v>206.88000000000466</v>
      </c>
      <c r="BF95" s="76">
        <f t="shared" si="25"/>
        <v>727</v>
      </c>
      <c r="BG95" s="76">
        <f t="shared" si="25"/>
        <v>781</v>
      </c>
      <c r="BH95" s="76">
        <f t="shared" si="25"/>
        <v>1380</v>
      </c>
      <c r="BI95" s="76">
        <f t="shared" si="25"/>
        <v>1485</v>
      </c>
      <c r="BJ95" s="76">
        <f t="shared" si="25"/>
        <v>0</v>
      </c>
      <c r="BK95" s="76">
        <f t="shared" si="25"/>
        <v>0</v>
      </c>
      <c r="BL95" s="68">
        <f t="shared" si="20"/>
        <v>6224.5199999999968</v>
      </c>
      <c r="BM95" s="68">
        <f t="shared" si="21"/>
        <v>10185.060000000005</v>
      </c>
    </row>
    <row r="96" spans="1:65" x14ac:dyDescent="0.25">
      <c r="A96" s="92" t="s">
        <v>293</v>
      </c>
      <c r="B96" s="76">
        <f t="shared" ref="B96:AE96" si="26">B107-B85-B74-B63-B52-B41-B30-B19-B8</f>
        <v>938</v>
      </c>
      <c r="C96" s="76">
        <f t="shared" si="26"/>
        <v>1495</v>
      </c>
      <c r="D96" s="76">
        <f t="shared" si="26"/>
        <v>0</v>
      </c>
      <c r="E96" s="76">
        <f t="shared" si="26"/>
        <v>0</v>
      </c>
      <c r="F96" s="76">
        <f t="shared" si="26"/>
        <v>0</v>
      </c>
      <c r="G96" s="76">
        <f t="shared" si="26"/>
        <v>0</v>
      </c>
      <c r="H96" s="76">
        <f t="shared" si="26"/>
        <v>-15506</v>
      </c>
      <c r="I96" s="76">
        <f t="shared" si="26"/>
        <v>-34582</v>
      </c>
      <c r="J96" s="76">
        <f t="shared" si="26"/>
        <v>-3.637978807091713E-12</v>
      </c>
      <c r="K96" s="76">
        <f t="shared" si="26"/>
        <v>7.2759576141834259E-12</v>
      </c>
      <c r="L96" s="76">
        <f t="shared" si="26"/>
        <v>249</v>
      </c>
      <c r="M96" s="76">
        <f t="shared" si="26"/>
        <v>596</v>
      </c>
      <c r="N96" s="76">
        <f t="shared" si="26"/>
        <v>4766.62</v>
      </c>
      <c r="O96" s="76">
        <f t="shared" si="26"/>
        <v>9793.33</v>
      </c>
      <c r="P96" s="76">
        <f t="shared" si="26"/>
        <v>10.579999999999956</v>
      </c>
      <c r="Q96" s="76">
        <f t="shared" si="26"/>
        <v>13.07000000000005</v>
      </c>
      <c r="R96" s="76">
        <f t="shared" si="26"/>
        <v>3468.74</v>
      </c>
      <c r="S96" s="76">
        <f t="shared" ref="S96" si="27">S107-S85-S74-S63-S52-S41-S30-S19-S8</f>
        <v>5571.8999999999978</v>
      </c>
      <c r="T96" s="76">
        <f t="shared" si="26"/>
        <v>510</v>
      </c>
      <c r="U96" s="76">
        <f t="shared" si="26"/>
        <v>1471</v>
      </c>
      <c r="V96" s="76">
        <f t="shared" si="26"/>
        <v>-9752</v>
      </c>
      <c r="W96" s="76">
        <f t="shared" si="26"/>
        <v>-19938</v>
      </c>
      <c r="X96" s="76">
        <f t="shared" si="26"/>
        <v>10940</v>
      </c>
      <c r="Y96" s="76">
        <f t="shared" si="26"/>
        <v>27043</v>
      </c>
      <c r="Z96" s="76">
        <f t="shared" si="26"/>
        <v>7842</v>
      </c>
      <c r="AA96" s="76">
        <f t="shared" si="26"/>
        <v>12870</v>
      </c>
      <c r="AB96" s="76">
        <f t="shared" si="26"/>
        <v>186</v>
      </c>
      <c r="AC96" s="76">
        <f t="shared" si="26"/>
        <v>323</v>
      </c>
      <c r="AD96" s="76">
        <f t="shared" si="26"/>
        <v>570.8599999999999</v>
      </c>
      <c r="AE96" s="76">
        <f t="shared" si="26"/>
        <v>2866.8</v>
      </c>
      <c r="AF96" s="76">
        <f t="shared" ref="AF96" si="28">AF107-AF85-AF74-AF63-AF52-AF41-AF30-AF19-AF8</f>
        <v>-1194.8699999999976</v>
      </c>
      <c r="AG96" s="76">
        <f t="shared" ref="AG96:BK96" si="29">AG107-AG85-AG74-AG63-AG52-AG41-AG30-AG19-AG8</f>
        <v>-2375.5399999999972</v>
      </c>
      <c r="AH96" s="76">
        <f t="shared" si="29"/>
        <v>3.9900000000000091</v>
      </c>
      <c r="AI96" s="76">
        <f t="shared" si="29"/>
        <v>9.2599999999997635</v>
      </c>
      <c r="AJ96" s="76">
        <f t="shared" si="29"/>
        <v>0</v>
      </c>
      <c r="AK96" s="76">
        <f t="shared" si="29"/>
        <v>3.637978807091713E-12</v>
      </c>
      <c r="AL96" s="76">
        <f t="shared" si="29"/>
        <v>924.67000000000007</v>
      </c>
      <c r="AM96" s="76">
        <f t="shared" si="29"/>
        <v>2995.6099999999933</v>
      </c>
      <c r="AN96" s="76">
        <f t="shared" si="29"/>
        <v>-10</v>
      </c>
      <c r="AO96" s="76">
        <f t="shared" si="29"/>
        <v>-18</v>
      </c>
      <c r="AP96" s="76">
        <f t="shared" si="29"/>
        <v>598</v>
      </c>
      <c r="AQ96" s="76">
        <f t="shared" si="29"/>
        <v>1136</v>
      </c>
      <c r="AR96" s="76">
        <f t="shared" si="29"/>
        <v>819</v>
      </c>
      <c r="AS96" s="76">
        <f t="shared" si="29"/>
        <v>2336</v>
      </c>
      <c r="AT96" s="76">
        <f t="shared" si="29"/>
        <v>-237.02000000000135</v>
      </c>
      <c r="AU96" s="76">
        <f t="shared" si="29"/>
        <v>-516.51999999999316</v>
      </c>
      <c r="AV96" s="76">
        <f t="shared" si="29"/>
        <v>2402</v>
      </c>
      <c r="AW96" s="76">
        <f t="shared" si="29"/>
        <v>5737</v>
      </c>
      <c r="AX96" s="76">
        <f t="shared" si="29"/>
        <v>134</v>
      </c>
      <c r="AY96" s="76">
        <f t="shared" si="29"/>
        <v>247</v>
      </c>
      <c r="AZ96" s="76">
        <f t="shared" si="29"/>
        <v>1</v>
      </c>
      <c r="BA96" s="76">
        <f t="shared" si="29"/>
        <v>22</v>
      </c>
      <c r="BB96" s="76">
        <f t="shared" si="29"/>
        <v>12791</v>
      </c>
      <c r="BC96" s="76">
        <f t="shared" si="29"/>
        <v>25584</v>
      </c>
      <c r="BD96" s="76">
        <f t="shared" si="29"/>
        <v>17981.679999999964</v>
      </c>
      <c r="BE96" s="76">
        <f t="shared" si="29"/>
        <v>36077.670000000013</v>
      </c>
      <c r="BF96" s="76">
        <f t="shared" si="29"/>
        <v>4143</v>
      </c>
      <c r="BG96" s="76">
        <f t="shared" si="29"/>
        <v>6302</v>
      </c>
      <c r="BH96" s="76">
        <f t="shared" si="29"/>
        <v>2220</v>
      </c>
      <c r="BI96" s="76">
        <f t="shared" si="29"/>
        <v>8473</v>
      </c>
      <c r="BJ96" s="76">
        <f t="shared" si="29"/>
        <v>669</v>
      </c>
      <c r="BK96" s="76">
        <f t="shared" si="29"/>
        <v>1106</v>
      </c>
      <c r="BL96" s="68">
        <f t="shared" si="20"/>
        <v>45469.249999999956</v>
      </c>
      <c r="BM96" s="68">
        <f t="shared" si="21"/>
        <v>94638.580000000016</v>
      </c>
    </row>
    <row r="97" spans="1:65" s="7" customFormat="1" x14ac:dyDescent="0.25">
      <c r="A97" s="10" t="s">
        <v>294</v>
      </c>
      <c r="B97" s="10">
        <f t="shared" ref="B97:R97" si="30">B108-B86-B75-B64-B53-B42-B31-B20-B9</f>
        <v>1236</v>
      </c>
      <c r="C97" s="10">
        <f t="shared" si="30"/>
        <v>1916</v>
      </c>
      <c r="D97" s="10">
        <f t="shared" si="30"/>
        <v>0</v>
      </c>
      <c r="E97" s="10">
        <f t="shared" si="30"/>
        <v>0</v>
      </c>
      <c r="F97" s="10">
        <f t="shared" si="30"/>
        <v>0</v>
      </c>
      <c r="G97" s="10">
        <f t="shared" si="30"/>
        <v>0</v>
      </c>
      <c r="H97" s="10">
        <f t="shared" si="30"/>
        <v>10592</v>
      </c>
      <c r="I97" s="10">
        <f t="shared" si="30"/>
        <v>20151</v>
      </c>
      <c r="J97" s="10">
        <f t="shared" si="30"/>
        <v>0</v>
      </c>
      <c r="K97" s="10">
        <f t="shared" si="30"/>
        <v>0</v>
      </c>
      <c r="L97" s="10">
        <f t="shared" si="30"/>
        <v>1885</v>
      </c>
      <c r="M97" s="10">
        <f t="shared" si="30"/>
        <v>2722</v>
      </c>
      <c r="N97" s="10">
        <f t="shared" si="30"/>
        <v>21990.58</v>
      </c>
      <c r="O97" s="10">
        <f t="shared" si="30"/>
        <v>36312.379999999997</v>
      </c>
      <c r="P97" s="10">
        <f t="shared" si="30"/>
        <v>164.33000000000021</v>
      </c>
      <c r="Q97" s="10">
        <f t="shared" si="30"/>
        <v>199.81000000000071</v>
      </c>
      <c r="R97" s="10">
        <f t="shared" si="30"/>
        <v>4290.4900000000107</v>
      </c>
      <c r="S97" s="10">
        <f t="shared" ref="S97:AH98" si="31">S108-S86-S75-S64-S53-S42-S31-S20-S9</f>
        <v>8575.3799999999756</v>
      </c>
      <c r="T97" s="10">
        <f t="shared" ref="T97:BK97" si="32">T108-T86-T75-T64-T53-T42-T31-T20-T9</f>
        <v>4768</v>
      </c>
      <c r="U97" s="10">
        <f t="shared" si="32"/>
        <v>11682</v>
      </c>
      <c r="V97" s="10">
        <f t="shared" si="32"/>
        <v>9176</v>
      </c>
      <c r="W97" s="10">
        <f t="shared" si="32"/>
        <v>13457</v>
      </c>
      <c r="X97" s="10">
        <f t="shared" si="32"/>
        <v>12620</v>
      </c>
      <c r="Y97" s="10">
        <f t="shared" si="32"/>
        <v>26787</v>
      </c>
      <c r="Z97" s="10">
        <f t="shared" si="32"/>
        <v>9883</v>
      </c>
      <c r="AA97" s="10">
        <f t="shared" si="32"/>
        <v>20417</v>
      </c>
      <c r="AB97" s="10">
        <f t="shared" si="32"/>
        <v>49</v>
      </c>
      <c r="AC97" s="10">
        <f t="shared" si="32"/>
        <v>83</v>
      </c>
      <c r="AD97" s="10">
        <f t="shared" si="32"/>
        <v>891.15999999999963</v>
      </c>
      <c r="AE97" s="10">
        <f t="shared" si="32"/>
        <v>900.6899999999996</v>
      </c>
      <c r="AF97" s="10">
        <f t="shared" si="32"/>
        <v>106.13000000000125</v>
      </c>
      <c r="AG97" s="10">
        <f t="shared" si="32"/>
        <v>178.39999999999327</v>
      </c>
      <c r="AH97" s="10">
        <f t="shared" si="32"/>
        <v>75.669999999998254</v>
      </c>
      <c r="AI97" s="10">
        <f t="shared" si="32"/>
        <v>175.79000000000087</v>
      </c>
      <c r="AJ97" s="10">
        <f t="shared" si="32"/>
        <v>-7.2759576141834259E-12</v>
      </c>
      <c r="AK97" s="10">
        <f t="shared" si="32"/>
        <v>0</v>
      </c>
      <c r="AL97" s="10">
        <f t="shared" si="32"/>
        <v>9463.1199999999044</v>
      </c>
      <c r="AM97" s="10">
        <f t="shared" si="32"/>
        <v>21491.989999999947</v>
      </c>
      <c r="AN97" s="10">
        <f t="shared" si="32"/>
        <v>68</v>
      </c>
      <c r="AO97" s="10">
        <f t="shared" si="32"/>
        <v>125</v>
      </c>
      <c r="AP97" s="10">
        <f t="shared" si="32"/>
        <v>1662</v>
      </c>
      <c r="AQ97" s="10">
        <f t="shared" si="32"/>
        <v>3261</v>
      </c>
      <c r="AR97" s="10">
        <f t="shared" si="32"/>
        <v>3007</v>
      </c>
      <c r="AS97" s="10">
        <f t="shared" si="32"/>
        <v>5714</v>
      </c>
      <c r="AT97" s="10">
        <f t="shared" si="32"/>
        <v>0</v>
      </c>
      <c r="AU97" s="10">
        <f t="shared" si="32"/>
        <v>0</v>
      </c>
      <c r="AV97" s="10">
        <f t="shared" si="32"/>
        <v>2907</v>
      </c>
      <c r="AW97" s="10">
        <f t="shared" si="32"/>
        <v>5610</v>
      </c>
      <c r="AX97" s="10">
        <f t="shared" si="32"/>
        <v>277</v>
      </c>
      <c r="AY97" s="10">
        <f t="shared" si="32"/>
        <v>525</v>
      </c>
      <c r="AZ97" s="10">
        <f t="shared" si="32"/>
        <v>0</v>
      </c>
      <c r="BA97" s="10">
        <f t="shared" si="32"/>
        <v>-22</v>
      </c>
      <c r="BB97" s="10">
        <f t="shared" si="32"/>
        <v>6217</v>
      </c>
      <c r="BC97" s="10">
        <f t="shared" si="32"/>
        <v>12134</v>
      </c>
      <c r="BD97" s="10">
        <f t="shared" si="32"/>
        <v>32694.590000000069</v>
      </c>
      <c r="BE97" s="10">
        <f t="shared" si="32"/>
        <v>67140.899999999965</v>
      </c>
      <c r="BF97" s="10">
        <f t="shared" si="32"/>
        <v>12156</v>
      </c>
      <c r="BG97" s="10">
        <f t="shared" si="32"/>
        <v>23999</v>
      </c>
      <c r="BH97" s="10">
        <f t="shared" si="32"/>
        <v>16586</v>
      </c>
      <c r="BI97" s="10">
        <f t="shared" si="32"/>
        <v>27446</v>
      </c>
      <c r="BJ97" s="10">
        <f t="shared" si="32"/>
        <v>497</v>
      </c>
      <c r="BK97" s="10">
        <f t="shared" si="32"/>
        <v>1064</v>
      </c>
      <c r="BL97" s="63">
        <f t="shared" si="20"/>
        <v>163262.07</v>
      </c>
      <c r="BM97" s="63">
        <f t="shared" si="21"/>
        <v>312046.33999999991</v>
      </c>
    </row>
    <row r="98" spans="1:65" x14ac:dyDescent="0.25">
      <c r="A98" s="92" t="s">
        <v>295</v>
      </c>
      <c r="B98" s="92">
        <f t="shared" ref="B98:R98" si="33">B109-B87-B76-B65-B54-B43-B32-B21-B10</f>
        <v>978</v>
      </c>
      <c r="C98" s="92">
        <f t="shared" si="33"/>
        <v>1067</v>
      </c>
      <c r="D98" s="92">
        <f t="shared" si="33"/>
        <v>0</v>
      </c>
      <c r="E98" s="92">
        <f t="shared" si="33"/>
        <v>0</v>
      </c>
      <c r="F98" s="92">
        <f t="shared" si="33"/>
        <v>0</v>
      </c>
      <c r="G98" s="92">
        <f t="shared" si="33"/>
        <v>0</v>
      </c>
      <c r="H98" s="92">
        <f t="shared" si="33"/>
        <v>30865</v>
      </c>
      <c r="I98" s="92">
        <f t="shared" si="33"/>
        <v>30731</v>
      </c>
      <c r="J98" s="92">
        <f t="shared" si="33"/>
        <v>0</v>
      </c>
      <c r="K98" s="92">
        <f t="shared" si="33"/>
        <v>0</v>
      </c>
      <c r="L98" s="92">
        <f t="shared" si="33"/>
        <v>0</v>
      </c>
      <c r="M98" s="92">
        <f t="shared" si="33"/>
        <v>2667</v>
      </c>
      <c r="N98" s="92">
        <f t="shared" si="33"/>
        <v>11547.61</v>
      </c>
      <c r="O98" s="92">
        <f t="shared" si="33"/>
        <v>17531.12</v>
      </c>
      <c r="P98" s="92">
        <f t="shared" si="33"/>
        <v>8.5299999999982674</v>
      </c>
      <c r="Q98" s="92">
        <f t="shared" si="33"/>
        <v>1.9499999999985107</v>
      </c>
      <c r="R98" s="92">
        <f t="shared" si="33"/>
        <v>17062.990000000002</v>
      </c>
      <c r="S98" s="92">
        <f t="shared" si="31"/>
        <v>16260.280000000006</v>
      </c>
      <c r="T98" s="92">
        <f t="shared" si="31"/>
        <v>6876</v>
      </c>
      <c r="U98" s="92">
        <f t="shared" si="31"/>
        <v>2124</v>
      </c>
      <c r="V98" s="92">
        <f t="shared" si="31"/>
        <v>16716</v>
      </c>
      <c r="W98" s="92">
        <f t="shared" si="31"/>
        <v>17724</v>
      </c>
      <c r="X98" s="92">
        <f t="shared" si="31"/>
        <v>57633</v>
      </c>
      <c r="Y98" s="92">
        <f t="shared" si="31"/>
        <v>52337</v>
      </c>
      <c r="Z98" s="92">
        <f t="shared" si="31"/>
        <v>0</v>
      </c>
      <c r="AA98" s="92">
        <f t="shared" si="31"/>
        <v>12204</v>
      </c>
      <c r="AB98" s="92">
        <f t="shared" si="31"/>
        <v>1993</v>
      </c>
      <c r="AC98" s="92">
        <f t="shared" si="31"/>
        <v>2106</v>
      </c>
      <c r="AD98" s="92">
        <f t="shared" si="31"/>
        <v>0</v>
      </c>
      <c r="AE98" s="92">
        <f t="shared" si="31"/>
        <v>0</v>
      </c>
      <c r="AF98" s="92">
        <f t="shared" si="31"/>
        <v>170.08000000000584</v>
      </c>
      <c r="AG98" s="92">
        <f t="shared" si="31"/>
        <v>186.4200000000078</v>
      </c>
      <c r="AH98" s="92">
        <f t="shared" si="31"/>
        <v>69.480000000003201</v>
      </c>
      <c r="AI98" s="92">
        <f t="shared" ref="AI98:BK98" si="34">AI109-AI87-AI76-AI65-AI54-AI43-AI32-AI21-AI10</f>
        <v>61.370000000002619</v>
      </c>
      <c r="AJ98" s="92">
        <f t="shared" si="34"/>
        <v>-9.9999999947613105E-3</v>
      </c>
      <c r="AK98" s="92">
        <f t="shared" si="34"/>
        <v>-1.0000000002037268E-2</v>
      </c>
      <c r="AL98" s="92">
        <f t="shared" si="34"/>
        <v>18332.109999999942</v>
      </c>
      <c r="AM98" s="92">
        <f t="shared" si="34"/>
        <v>16117.520000000019</v>
      </c>
      <c r="AN98" s="92">
        <f t="shared" si="34"/>
        <v>341</v>
      </c>
      <c r="AO98" s="92">
        <f t="shared" si="34"/>
        <v>437</v>
      </c>
      <c r="AP98" s="92">
        <f t="shared" si="34"/>
        <v>4398</v>
      </c>
      <c r="AQ98" s="92">
        <f t="shared" si="34"/>
        <v>4154</v>
      </c>
      <c r="AR98" s="92">
        <f t="shared" si="34"/>
        <v>3718</v>
      </c>
      <c r="AS98" s="92">
        <f t="shared" si="34"/>
        <v>3586</v>
      </c>
      <c r="AT98" s="92">
        <f t="shared" si="34"/>
        <v>0</v>
      </c>
      <c r="AU98" s="92">
        <f t="shared" si="34"/>
        <v>0</v>
      </c>
      <c r="AV98" s="92">
        <f t="shared" si="34"/>
        <v>10615</v>
      </c>
      <c r="AW98" s="92">
        <f t="shared" si="34"/>
        <v>12778</v>
      </c>
      <c r="AX98" s="92">
        <f t="shared" si="34"/>
        <v>580</v>
      </c>
      <c r="AY98" s="92">
        <f t="shared" si="34"/>
        <v>651</v>
      </c>
      <c r="AZ98" s="92">
        <f t="shared" si="34"/>
        <v>1</v>
      </c>
      <c r="BA98" s="92">
        <f t="shared" si="34"/>
        <v>22</v>
      </c>
      <c r="BB98" s="92">
        <f t="shared" si="34"/>
        <v>-4125</v>
      </c>
      <c r="BC98" s="92">
        <f t="shared" si="34"/>
        <v>12592</v>
      </c>
      <c r="BD98" s="92">
        <f t="shared" si="34"/>
        <v>0</v>
      </c>
      <c r="BE98" s="92">
        <f t="shared" si="34"/>
        <v>0</v>
      </c>
      <c r="BF98" s="92">
        <f t="shared" si="34"/>
        <v>0</v>
      </c>
      <c r="BG98" s="92">
        <f t="shared" si="34"/>
        <v>0</v>
      </c>
      <c r="BH98" s="92">
        <f t="shared" si="34"/>
        <v>26099</v>
      </c>
      <c r="BI98" s="92">
        <f t="shared" si="34"/>
        <v>27269</v>
      </c>
      <c r="BJ98" s="92">
        <f t="shared" si="34"/>
        <v>2571</v>
      </c>
      <c r="BK98" s="92">
        <f t="shared" si="34"/>
        <v>2998</v>
      </c>
      <c r="BL98" s="68">
        <f t="shared" si="20"/>
        <v>206449.78999999998</v>
      </c>
      <c r="BM98" s="68">
        <f t="shared" si="21"/>
        <v>235605.65000000002</v>
      </c>
    </row>
    <row r="99" spans="1:65" x14ac:dyDescent="0.25">
      <c r="A99" s="2" t="s">
        <v>296</v>
      </c>
      <c r="B99" s="92">
        <f t="shared" ref="B99:AE99" si="35">B110-B88-B77-B66-B55-B44-B33-B22-B11</f>
        <v>1100</v>
      </c>
      <c r="C99" s="92">
        <f t="shared" si="35"/>
        <v>1100</v>
      </c>
      <c r="D99" s="92">
        <f t="shared" si="35"/>
        <v>1</v>
      </c>
      <c r="E99" s="92">
        <f t="shared" si="35"/>
        <v>1</v>
      </c>
      <c r="F99" s="92">
        <f t="shared" si="35"/>
        <v>0</v>
      </c>
      <c r="G99" s="92">
        <f t="shared" si="35"/>
        <v>0</v>
      </c>
      <c r="H99" s="92">
        <f t="shared" si="35"/>
        <v>31550</v>
      </c>
      <c r="I99" s="92">
        <f t="shared" si="35"/>
        <v>31550</v>
      </c>
      <c r="J99" s="92">
        <f t="shared" si="35"/>
        <v>0</v>
      </c>
      <c r="K99" s="92">
        <f t="shared" si="35"/>
        <v>0</v>
      </c>
      <c r="L99" s="92">
        <f t="shared" si="35"/>
        <v>645</v>
      </c>
      <c r="M99" s="92">
        <f t="shared" si="35"/>
        <v>3173</v>
      </c>
      <c r="N99" s="92">
        <f t="shared" si="35"/>
        <v>10995.29</v>
      </c>
      <c r="O99" s="92">
        <f t="shared" si="35"/>
        <v>18156.189999999999</v>
      </c>
      <c r="P99" s="92">
        <f t="shared" si="35"/>
        <v>38.229999999999052</v>
      </c>
      <c r="Q99" s="92">
        <f t="shared" si="35"/>
        <v>38.229999999999052</v>
      </c>
      <c r="R99" s="92">
        <f t="shared" si="35"/>
        <v>17457.589999999986</v>
      </c>
      <c r="S99" s="92">
        <f t="shared" si="35"/>
        <v>17457.589999999986</v>
      </c>
      <c r="T99" s="92">
        <f t="shared" si="35"/>
        <v>7521</v>
      </c>
      <c r="U99" s="92">
        <f t="shared" si="35"/>
        <v>7521</v>
      </c>
      <c r="V99" s="92">
        <f t="shared" si="35"/>
        <v>-20267</v>
      </c>
      <c r="W99" s="92">
        <f t="shared" si="35"/>
        <v>-20267</v>
      </c>
      <c r="X99" s="92">
        <f t="shared" si="35"/>
        <v>58100</v>
      </c>
      <c r="Y99" s="92">
        <f t="shared" si="35"/>
        <v>58101</v>
      </c>
      <c r="Z99" s="92">
        <f t="shared" si="35"/>
        <v>2777</v>
      </c>
      <c r="AA99" s="92">
        <f t="shared" si="35"/>
        <v>20160</v>
      </c>
      <c r="AB99" s="92">
        <f t="shared" si="35"/>
        <v>1895</v>
      </c>
      <c r="AC99" s="92">
        <f t="shared" si="35"/>
        <v>1895</v>
      </c>
      <c r="AD99" s="92">
        <f t="shared" si="35"/>
        <v>0</v>
      </c>
      <c r="AE99" s="92">
        <f t="shared" si="35"/>
        <v>0</v>
      </c>
      <c r="AF99" s="92">
        <f t="shared" ref="AF99:AU99" si="36">AF110-AF88-AF77-AF66-AF55-AF44-AF33-AF22-AF11</f>
        <v>-163.88000000000011</v>
      </c>
      <c r="AG99" s="92">
        <f t="shared" si="36"/>
        <v>-163.88000000000011</v>
      </c>
      <c r="AH99" s="92">
        <f t="shared" si="36"/>
        <v>80.470000000001164</v>
      </c>
      <c r="AI99" s="92">
        <f t="shared" si="36"/>
        <v>80.470000000001164</v>
      </c>
      <c r="AJ99" s="92">
        <f t="shared" si="36"/>
        <v>0</v>
      </c>
      <c r="AK99" s="92">
        <f t="shared" si="36"/>
        <v>9.9999999947613105E-3</v>
      </c>
      <c r="AL99" s="92">
        <f t="shared" si="36"/>
        <v>18273.819999999934</v>
      </c>
      <c r="AM99" s="92">
        <f t="shared" si="36"/>
        <v>18273.819999999934</v>
      </c>
      <c r="AN99" s="92">
        <f t="shared" si="36"/>
        <v>-278</v>
      </c>
      <c r="AO99" s="92">
        <f t="shared" si="36"/>
        <v>-278</v>
      </c>
      <c r="AP99" s="92">
        <f t="shared" si="36"/>
        <v>4647</v>
      </c>
      <c r="AQ99" s="92">
        <f t="shared" si="36"/>
        <v>4647</v>
      </c>
      <c r="AR99" s="92">
        <f t="shared" si="36"/>
        <v>4115</v>
      </c>
      <c r="AS99" s="92">
        <f t="shared" si="36"/>
        <v>4115</v>
      </c>
      <c r="AT99" s="92">
        <f t="shared" si="36"/>
        <v>0</v>
      </c>
      <c r="AU99" s="92">
        <f t="shared" si="36"/>
        <v>0</v>
      </c>
      <c r="AV99" s="92">
        <f t="shared" ref="AV99:BK99" si="37">AV110-AV88-AV77-AV66-AV55-AV44-AV33-AV22-AV11</f>
        <v>9076</v>
      </c>
      <c r="AW99" s="92">
        <f t="shared" si="37"/>
        <v>9076</v>
      </c>
      <c r="AX99" s="92">
        <f t="shared" si="37"/>
        <v>549</v>
      </c>
      <c r="AY99" s="92">
        <f t="shared" si="37"/>
        <v>549</v>
      </c>
      <c r="AZ99" s="92">
        <f t="shared" si="37"/>
        <v>0</v>
      </c>
      <c r="BA99" s="92">
        <f t="shared" si="37"/>
        <v>0</v>
      </c>
      <c r="BB99" s="92">
        <f t="shared" si="37"/>
        <v>11036</v>
      </c>
      <c r="BC99" s="92">
        <f t="shared" si="37"/>
        <v>11036</v>
      </c>
      <c r="BD99" s="92">
        <f t="shared" si="37"/>
        <v>0</v>
      </c>
      <c r="BE99" s="92">
        <f t="shared" si="37"/>
        <v>0</v>
      </c>
      <c r="BF99" s="92">
        <f t="shared" si="37"/>
        <v>-392</v>
      </c>
      <c r="BG99" s="92">
        <f t="shared" si="37"/>
        <v>-378</v>
      </c>
      <c r="BH99" s="92">
        <f t="shared" si="37"/>
        <v>27918</v>
      </c>
      <c r="BI99" s="92">
        <f t="shared" si="37"/>
        <v>27918</v>
      </c>
      <c r="BJ99" s="92">
        <f t="shared" si="37"/>
        <v>-2354</v>
      </c>
      <c r="BK99" s="92">
        <f t="shared" si="37"/>
        <v>-2354</v>
      </c>
      <c r="BL99" s="68">
        <f t="shared" si="20"/>
        <v>184320.5199999999</v>
      </c>
      <c r="BM99" s="68">
        <f t="shared" si="21"/>
        <v>211407.42999999993</v>
      </c>
    </row>
    <row r="100" spans="1:65" s="7" customFormat="1" x14ac:dyDescent="0.25">
      <c r="A100" s="10" t="s">
        <v>192</v>
      </c>
      <c r="B100" s="10">
        <f t="shared" ref="B100:AE100" si="38">B111-B89-B78-B67-B56-B45-B34-B23-B12</f>
        <v>1114</v>
      </c>
      <c r="C100" s="10">
        <f t="shared" si="38"/>
        <v>1883</v>
      </c>
      <c r="D100" s="10">
        <f t="shared" si="38"/>
        <v>0</v>
      </c>
      <c r="E100" s="10">
        <f t="shared" si="38"/>
        <v>0</v>
      </c>
      <c r="F100" s="10">
        <f t="shared" si="38"/>
        <v>0</v>
      </c>
      <c r="G100" s="10">
        <f t="shared" si="38"/>
        <v>0</v>
      </c>
      <c r="H100" s="10">
        <f t="shared" si="38"/>
        <v>9905</v>
      </c>
      <c r="I100" s="10">
        <f t="shared" si="38"/>
        <v>19332</v>
      </c>
      <c r="J100" s="10">
        <f t="shared" si="38"/>
        <v>0</v>
      </c>
      <c r="K100" s="10">
        <f t="shared" si="38"/>
        <v>0</v>
      </c>
      <c r="L100" s="10">
        <f t="shared" si="38"/>
        <v>1240</v>
      </c>
      <c r="M100" s="10">
        <f t="shared" si="38"/>
        <v>2216</v>
      </c>
      <c r="N100" s="10">
        <f t="shared" si="38"/>
        <v>22542.9</v>
      </c>
      <c r="O100" s="10">
        <f t="shared" si="38"/>
        <v>35687.31</v>
      </c>
      <c r="P100" s="10">
        <f t="shared" si="38"/>
        <v>134.63000000000034</v>
      </c>
      <c r="Q100" s="10">
        <f t="shared" si="38"/>
        <v>163.53000000000108</v>
      </c>
      <c r="R100" s="10">
        <f t="shared" si="38"/>
        <v>3895.8800000000015</v>
      </c>
      <c r="S100" s="10">
        <f t="shared" ref="S100" si="39">S111-S89-S78-S67-S56-S45-S34-S23-S12</f>
        <v>7378.0500000000166</v>
      </c>
      <c r="T100" s="10">
        <f t="shared" si="38"/>
        <v>4122</v>
      </c>
      <c r="U100" s="10">
        <f t="shared" si="38"/>
        <v>6284</v>
      </c>
      <c r="V100" s="10">
        <f t="shared" si="38"/>
        <v>5624</v>
      </c>
      <c r="W100" s="10">
        <f t="shared" si="38"/>
        <v>10912</v>
      </c>
      <c r="X100" s="10">
        <f t="shared" si="38"/>
        <v>12154</v>
      </c>
      <c r="Y100" s="10">
        <f t="shared" si="38"/>
        <v>24307</v>
      </c>
      <c r="Z100" s="10">
        <f t="shared" si="38"/>
        <v>7108</v>
      </c>
      <c r="AA100" s="10">
        <f t="shared" si="38"/>
        <v>12461</v>
      </c>
      <c r="AB100" s="10">
        <f t="shared" si="38"/>
        <v>148</v>
      </c>
      <c r="AC100" s="10">
        <f t="shared" si="38"/>
        <v>295</v>
      </c>
      <c r="AD100" s="10">
        <f t="shared" si="38"/>
        <v>835.10999999999865</v>
      </c>
      <c r="AE100" s="10">
        <f t="shared" si="38"/>
        <v>1703.490000000003</v>
      </c>
      <c r="AF100" s="10">
        <f t="shared" ref="AF100" si="40">AF111-AF89-AF78-AF67-AF56-AF45-AF34-AF23-AF12</f>
        <v>112.33000000000061</v>
      </c>
      <c r="AG100" s="10">
        <f t="shared" ref="AG100:BK100" si="41">AG111-AG89-AG78-AG67-AG56-AG45-AG34-AG23-AG12</f>
        <v>200.93999999999414</v>
      </c>
      <c r="AH100" s="10">
        <f t="shared" si="41"/>
        <v>64.680000000000291</v>
      </c>
      <c r="AI100" s="10">
        <f t="shared" si="41"/>
        <v>156.69000000000233</v>
      </c>
      <c r="AJ100" s="10">
        <f t="shared" si="41"/>
        <v>0</v>
      </c>
      <c r="AK100" s="10">
        <f t="shared" si="41"/>
        <v>0</v>
      </c>
      <c r="AL100" s="10">
        <f t="shared" si="41"/>
        <v>9521.3899999999849</v>
      </c>
      <c r="AM100" s="10">
        <f t="shared" si="41"/>
        <v>19335.670000000006</v>
      </c>
      <c r="AN100" s="10">
        <f t="shared" si="41"/>
        <v>131</v>
      </c>
      <c r="AO100" s="10">
        <f t="shared" si="41"/>
        <v>284</v>
      </c>
      <c r="AP100" s="10">
        <f t="shared" si="41"/>
        <v>1411</v>
      </c>
      <c r="AQ100" s="10">
        <f t="shared" si="41"/>
        <v>2767</v>
      </c>
      <c r="AR100" s="10">
        <f t="shared" si="41"/>
        <v>2608</v>
      </c>
      <c r="AS100" s="10">
        <f t="shared" si="41"/>
        <v>5185</v>
      </c>
      <c r="AT100" s="10">
        <f t="shared" si="41"/>
        <v>305.10000000000559</v>
      </c>
      <c r="AU100" s="10">
        <f t="shared" si="41"/>
        <v>604.02999999998792</v>
      </c>
      <c r="AV100" s="10">
        <f t="shared" si="41"/>
        <v>4446</v>
      </c>
      <c r="AW100" s="10">
        <f t="shared" si="41"/>
        <v>9312</v>
      </c>
      <c r="AX100" s="10">
        <f t="shared" si="41"/>
        <v>307</v>
      </c>
      <c r="AY100" s="10">
        <f t="shared" si="41"/>
        <v>626</v>
      </c>
      <c r="AZ100" s="10">
        <f t="shared" si="41"/>
        <v>0</v>
      </c>
      <c r="BA100" s="10">
        <f t="shared" si="41"/>
        <v>0</v>
      </c>
      <c r="BB100" s="10">
        <f t="shared" si="41"/>
        <v>-8944</v>
      </c>
      <c r="BC100" s="10">
        <f t="shared" si="41"/>
        <v>13692</v>
      </c>
      <c r="BD100" s="10">
        <f t="shared" si="41"/>
        <v>35079.259999999973</v>
      </c>
      <c r="BE100" s="10">
        <f t="shared" si="41"/>
        <v>65601.899999999892</v>
      </c>
      <c r="BF100" s="10">
        <f t="shared" si="41"/>
        <v>12549</v>
      </c>
      <c r="BG100" s="10">
        <f t="shared" si="41"/>
        <v>24378</v>
      </c>
      <c r="BH100" s="10">
        <f t="shared" si="41"/>
        <v>14766</v>
      </c>
      <c r="BI100" s="10">
        <f t="shared" si="41"/>
        <v>26799</v>
      </c>
      <c r="BJ100" s="10">
        <f t="shared" si="41"/>
        <v>713</v>
      </c>
      <c r="BK100" s="10">
        <f t="shared" si="41"/>
        <v>1708</v>
      </c>
      <c r="BL100" s="63">
        <f t="shared" si="20"/>
        <v>141893.27999999997</v>
      </c>
      <c r="BM100" s="63">
        <f t="shared" si="21"/>
        <v>293272.60999999993</v>
      </c>
    </row>
    <row r="102" spans="1:65" x14ac:dyDescent="0.25">
      <c r="A102" s="23" t="s">
        <v>40</v>
      </c>
    </row>
    <row r="103" spans="1:65" x14ac:dyDescent="0.25">
      <c r="A103" s="1" t="s">
        <v>0</v>
      </c>
      <c r="B103" s="147" t="s">
        <v>1</v>
      </c>
      <c r="C103" s="148"/>
      <c r="D103" s="147" t="s">
        <v>233</v>
      </c>
      <c r="E103" s="148"/>
      <c r="F103" s="147" t="s">
        <v>2</v>
      </c>
      <c r="G103" s="148"/>
      <c r="H103" s="147" t="s">
        <v>3</v>
      </c>
      <c r="I103" s="148"/>
      <c r="J103" s="147" t="s">
        <v>242</v>
      </c>
      <c r="K103" s="148"/>
      <c r="L103" s="147" t="s">
        <v>234</v>
      </c>
      <c r="M103" s="148"/>
      <c r="N103" s="147" t="s">
        <v>5</v>
      </c>
      <c r="O103" s="148"/>
      <c r="P103" s="147" t="s">
        <v>4</v>
      </c>
      <c r="Q103" s="148"/>
      <c r="R103" s="147" t="s">
        <v>6</v>
      </c>
      <c r="S103" s="148"/>
      <c r="T103" s="147" t="s">
        <v>254</v>
      </c>
      <c r="U103" s="148"/>
      <c r="V103" s="147" t="s">
        <v>7</v>
      </c>
      <c r="W103" s="148"/>
      <c r="X103" s="147" t="s">
        <v>8</v>
      </c>
      <c r="Y103" s="148"/>
      <c r="Z103" s="147" t="s">
        <v>9</v>
      </c>
      <c r="AA103" s="148"/>
      <c r="AB103" s="147" t="s">
        <v>241</v>
      </c>
      <c r="AC103" s="148"/>
      <c r="AD103" s="147" t="s">
        <v>10</v>
      </c>
      <c r="AE103" s="148"/>
      <c r="AF103" s="147" t="s">
        <v>11</v>
      </c>
      <c r="AG103" s="148"/>
      <c r="AH103" s="147" t="s">
        <v>235</v>
      </c>
      <c r="AI103" s="148"/>
      <c r="AJ103" s="147" t="s">
        <v>253</v>
      </c>
      <c r="AK103" s="148"/>
      <c r="AL103" s="147" t="s">
        <v>12</v>
      </c>
      <c r="AM103" s="148"/>
      <c r="AN103" s="147" t="s">
        <v>236</v>
      </c>
      <c r="AO103" s="148"/>
      <c r="AP103" s="147" t="s">
        <v>237</v>
      </c>
      <c r="AQ103" s="148"/>
      <c r="AR103" s="147" t="s">
        <v>240</v>
      </c>
      <c r="AS103" s="148"/>
      <c r="AT103" s="147" t="s">
        <v>13</v>
      </c>
      <c r="AU103" s="148"/>
      <c r="AV103" s="147" t="s">
        <v>14</v>
      </c>
      <c r="AW103" s="148"/>
      <c r="AX103" s="147" t="s">
        <v>15</v>
      </c>
      <c r="AY103" s="148"/>
      <c r="AZ103" s="147" t="s">
        <v>16</v>
      </c>
      <c r="BA103" s="148"/>
      <c r="BB103" s="147" t="s">
        <v>17</v>
      </c>
      <c r="BC103" s="148"/>
      <c r="BD103" s="147" t="s">
        <v>238</v>
      </c>
      <c r="BE103" s="148"/>
      <c r="BF103" s="147" t="s">
        <v>239</v>
      </c>
      <c r="BG103" s="148"/>
      <c r="BH103" s="147" t="s">
        <v>18</v>
      </c>
      <c r="BI103" s="148"/>
      <c r="BJ103" s="147" t="s">
        <v>19</v>
      </c>
      <c r="BK103" s="148"/>
      <c r="BL103" s="149" t="s">
        <v>20</v>
      </c>
      <c r="BM103" s="150"/>
    </row>
    <row r="104" spans="1:65" ht="30" x14ac:dyDescent="0.25">
      <c r="A104" s="1"/>
      <c r="B104" s="53" t="s">
        <v>243</v>
      </c>
      <c r="C104" s="54" t="s">
        <v>244</v>
      </c>
      <c r="D104" s="53" t="s">
        <v>243</v>
      </c>
      <c r="E104" s="54" t="s">
        <v>244</v>
      </c>
      <c r="F104" s="53" t="s">
        <v>243</v>
      </c>
      <c r="G104" s="54" t="s">
        <v>244</v>
      </c>
      <c r="H104" s="53" t="s">
        <v>243</v>
      </c>
      <c r="I104" s="54" t="s">
        <v>244</v>
      </c>
      <c r="J104" s="53" t="s">
        <v>243</v>
      </c>
      <c r="K104" s="54" t="s">
        <v>244</v>
      </c>
      <c r="L104" s="53" t="s">
        <v>243</v>
      </c>
      <c r="M104" s="54" t="s">
        <v>244</v>
      </c>
      <c r="N104" s="53" t="s">
        <v>243</v>
      </c>
      <c r="O104" s="54" t="s">
        <v>244</v>
      </c>
      <c r="P104" s="53" t="s">
        <v>243</v>
      </c>
      <c r="Q104" s="54" t="s">
        <v>244</v>
      </c>
      <c r="R104" s="53" t="s">
        <v>243</v>
      </c>
      <c r="S104" s="54" t="s">
        <v>244</v>
      </c>
      <c r="T104" s="53" t="s">
        <v>243</v>
      </c>
      <c r="U104" s="54" t="s">
        <v>244</v>
      </c>
      <c r="V104" s="53" t="s">
        <v>243</v>
      </c>
      <c r="W104" s="54" t="s">
        <v>244</v>
      </c>
      <c r="X104" s="53" t="s">
        <v>243</v>
      </c>
      <c r="Y104" s="54" t="s">
        <v>244</v>
      </c>
      <c r="Z104" s="53" t="s">
        <v>243</v>
      </c>
      <c r="AA104" s="54" t="s">
        <v>244</v>
      </c>
      <c r="AB104" s="53" t="s">
        <v>243</v>
      </c>
      <c r="AC104" s="54" t="s">
        <v>244</v>
      </c>
      <c r="AD104" s="53" t="s">
        <v>243</v>
      </c>
      <c r="AE104" s="54" t="s">
        <v>244</v>
      </c>
      <c r="AF104" s="53" t="s">
        <v>243</v>
      </c>
      <c r="AG104" s="54" t="s">
        <v>244</v>
      </c>
      <c r="AH104" s="53" t="s">
        <v>243</v>
      </c>
      <c r="AI104" s="54" t="s">
        <v>244</v>
      </c>
      <c r="AJ104" s="53" t="s">
        <v>243</v>
      </c>
      <c r="AK104" s="54" t="s">
        <v>244</v>
      </c>
      <c r="AL104" s="53" t="s">
        <v>243</v>
      </c>
      <c r="AM104" s="54" t="s">
        <v>244</v>
      </c>
      <c r="AN104" s="53" t="s">
        <v>243</v>
      </c>
      <c r="AO104" s="54" t="s">
        <v>244</v>
      </c>
      <c r="AP104" s="53" t="s">
        <v>243</v>
      </c>
      <c r="AQ104" s="54" t="s">
        <v>244</v>
      </c>
      <c r="AR104" s="53" t="s">
        <v>243</v>
      </c>
      <c r="AS104" s="54" t="s">
        <v>244</v>
      </c>
      <c r="AT104" s="53" t="s">
        <v>243</v>
      </c>
      <c r="AU104" s="54" t="s">
        <v>244</v>
      </c>
      <c r="AV104" s="53" t="s">
        <v>243</v>
      </c>
      <c r="AW104" s="54" t="s">
        <v>244</v>
      </c>
      <c r="AX104" s="53" t="s">
        <v>243</v>
      </c>
      <c r="AY104" s="54" t="s">
        <v>244</v>
      </c>
      <c r="AZ104" s="53" t="s">
        <v>243</v>
      </c>
      <c r="BA104" s="54" t="s">
        <v>244</v>
      </c>
      <c r="BB104" s="53" t="s">
        <v>243</v>
      </c>
      <c r="BC104" s="54" t="s">
        <v>244</v>
      </c>
      <c r="BD104" s="53" t="s">
        <v>243</v>
      </c>
      <c r="BE104" s="54" t="s">
        <v>244</v>
      </c>
      <c r="BF104" s="53" t="s">
        <v>243</v>
      </c>
      <c r="BG104" s="54" t="s">
        <v>244</v>
      </c>
      <c r="BH104" s="53" t="s">
        <v>243</v>
      </c>
      <c r="BI104" s="54" t="s">
        <v>244</v>
      </c>
      <c r="BJ104" s="53" t="s">
        <v>243</v>
      </c>
      <c r="BK104" s="54" t="s">
        <v>244</v>
      </c>
      <c r="BL104" s="105" t="s">
        <v>243</v>
      </c>
      <c r="BM104" s="106" t="s">
        <v>244</v>
      </c>
    </row>
    <row r="105" spans="1:65" x14ac:dyDescent="0.25">
      <c r="A105" s="92" t="s">
        <v>291</v>
      </c>
      <c r="B105" s="92">
        <v>24441</v>
      </c>
      <c r="C105" s="92">
        <v>41466</v>
      </c>
      <c r="D105" s="92">
        <v>39615</v>
      </c>
      <c r="E105" s="92">
        <v>76367</v>
      </c>
      <c r="F105" s="92">
        <v>775424</v>
      </c>
      <c r="G105" s="92">
        <v>796124</v>
      </c>
      <c r="H105" s="92">
        <v>501145</v>
      </c>
      <c r="I105" s="92">
        <v>748312</v>
      </c>
      <c r="J105" s="92">
        <v>93442.67</v>
      </c>
      <c r="K105" s="92">
        <v>167797.64</v>
      </c>
      <c r="L105" s="92">
        <v>122169</v>
      </c>
      <c r="M105" s="92">
        <v>212218</v>
      </c>
      <c r="N105" s="92">
        <v>26757.200000000001</v>
      </c>
      <c r="O105" s="92">
        <v>46105.71</v>
      </c>
      <c r="P105" s="92">
        <v>9320.5300000000007</v>
      </c>
      <c r="Q105" s="92">
        <v>15398.18</v>
      </c>
      <c r="R105" s="92">
        <v>111815.4</v>
      </c>
      <c r="S105" s="92">
        <v>181761.63</v>
      </c>
      <c r="T105" s="92">
        <v>99201</v>
      </c>
      <c r="U105" s="92">
        <v>178011</v>
      </c>
      <c r="V105" s="92">
        <v>413887</v>
      </c>
      <c r="W105" s="92">
        <v>652518</v>
      </c>
      <c r="X105" s="92">
        <v>442416</v>
      </c>
      <c r="Y105" s="92">
        <v>861263</v>
      </c>
      <c r="Z105" s="92">
        <v>253273</v>
      </c>
      <c r="AA105" s="92">
        <v>436520</v>
      </c>
      <c r="AB105" s="92">
        <v>15869</v>
      </c>
      <c r="AC105" s="92">
        <v>27767</v>
      </c>
      <c r="AD105" s="92">
        <v>35261.1</v>
      </c>
      <c r="AE105" s="92">
        <v>68957.009999999995</v>
      </c>
      <c r="AF105" s="92">
        <v>39335.699999999997</v>
      </c>
      <c r="AG105" s="92">
        <v>68973.16</v>
      </c>
      <c r="AH105" s="92">
        <v>23042.99</v>
      </c>
      <c r="AI105" s="92">
        <v>44161.05</v>
      </c>
      <c r="AJ105" s="92">
        <v>66418.91</v>
      </c>
      <c r="AK105" s="92">
        <v>124896.81</v>
      </c>
      <c r="AL105" s="92">
        <v>379251.93</v>
      </c>
      <c r="AM105" s="92">
        <v>688866.59</v>
      </c>
      <c r="AN105" s="92">
        <v>2889</v>
      </c>
      <c r="AO105" s="92">
        <v>3661</v>
      </c>
      <c r="AP105" s="92">
        <v>9870</v>
      </c>
      <c r="AQ105" s="92">
        <v>18595</v>
      </c>
      <c r="AR105" s="76">
        <v>301806</v>
      </c>
      <c r="AS105" s="76">
        <v>507252</v>
      </c>
      <c r="AT105" s="92">
        <v>73347.45</v>
      </c>
      <c r="AU105" s="92">
        <v>135279.09</v>
      </c>
      <c r="AV105" s="92">
        <v>296459</v>
      </c>
      <c r="AW105" s="92">
        <v>412895</v>
      </c>
      <c r="AX105" s="92">
        <v>43634</v>
      </c>
      <c r="AY105" s="92">
        <v>78063</v>
      </c>
      <c r="AZ105" s="92">
        <v>288468</v>
      </c>
      <c r="BA105" s="92">
        <v>506978</v>
      </c>
      <c r="BB105" s="92">
        <v>229255</v>
      </c>
      <c r="BC105" s="92">
        <v>436656</v>
      </c>
      <c r="BD105" s="92">
        <v>878328.18</v>
      </c>
      <c r="BE105" s="92">
        <v>1824369.05</v>
      </c>
      <c r="BF105" s="92">
        <v>408377</v>
      </c>
      <c r="BG105" s="92">
        <v>729240</v>
      </c>
      <c r="BH105" s="92">
        <v>383796</v>
      </c>
      <c r="BI105" s="92">
        <v>751747</v>
      </c>
      <c r="BJ105" s="92">
        <v>106945</v>
      </c>
      <c r="BK105" s="92">
        <v>157002</v>
      </c>
      <c r="BL105" s="68">
        <f t="shared" ref="BL105:BL111" si="42">SUM(B105+D105+F105+H105+J105+L105+N105+P105+R105+T105+V105+X105+Z105+AB105+AD105+AF105+AH105+AJ105+AL105+AN105+AP105+AR105+AT105+AV105+AX105+AZ105+BB105+BD105+BF105+BH105+BJ105)</f>
        <v>6495261.0600000005</v>
      </c>
      <c r="BM105" s="68">
        <f t="shared" ref="BM105:BM111" si="43">SUM(C105+E105+G105+I105+K105+M105+O105+Q105+S105+U105+W105+Y105+AA105+AC105+AE105+AG105+AI105+AK105+AM105+AO105+AQ105+AS105+AU105+AW105+AY105+BA105+BC105+BE105+BG105+BI105+BK105)</f>
        <v>10999220.92</v>
      </c>
    </row>
    <row r="106" spans="1:65" x14ac:dyDescent="0.25">
      <c r="A106" s="92" t="s">
        <v>292</v>
      </c>
      <c r="B106" s="92"/>
      <c r="C106" s="92"/>
      <c r="D106" s="76"/>
      <c r="E106" s="76"/>
      <c r="F106" s="92"/>
      <c r="G106" s="92"/>
      <c r="H106" s="92">
        <v>2301</v>
      </c>
      <c r="I106" s="92">
        <v>4570</v>
      </c>
      <c r="J106" s="92">
        <v>358.75</v>
      </c>
      <c r="K106" s="92">
        <v>1827.4</v>
      </c>
      <c r="L106" s="92">
        <v>806</v>
      </c>
      <c r="M106" s="92">
        <v>1132</v>
      </c>
      <c r="N106" s="92"/>
      <c r="O106" s="92"/>
      <c r="P106" s="92">
        <v>280.32</v>
      </c>
      <c r="Q106" s="92">
        <v>499.7</v>
      </c>
      <c r="R106" s="92">
        <v>1994.73</v>
      </c>
      <c r="S106" s="92">
        <v>4939.04</v>
      </c>
      <c r="T106" s="92">
        <v>20838</v>
      </c>
      <c r="U106" s="92">
        <v>41625</v>
      </c>
      <c r="V106" s="92">
        <v>4087</v>
      </c>
      <c r="W106" s="92">
        <v>13715</v>
      </c>
      <c r="X106" s="92">
        <v>8433</v>
      </c>
      <c r="Y106" s="92">
        <v>16295</v>
      </c>
      <c r="Z106" s="92">
        <v>5875</v>
      </c>
      <c r="AA106" s="92">
        <v>9004</v>
      </c>
      <c r="AB106" s="92">
        <v>313</v>
      </c>
      <c r="AC106" s="92">
        <v>547</v>
      </c>
      <c r="AD106" s="92">
        <v>404.04</v>
      </c>
      <c r="AE106" s="92">
        <v>596.88</v>
      </c>
      <c r="AF106" s="92">
        <v>631.42999999999995</v>
      </c>
      <c r="AG106" s="92">
        <v>3311.02</v>
      </c>
      <c r="AH106" s="92"/>
      <c r="AI106" s="92"/>
      <c r="AJ106" s="92"/>
      <c r="AK106" s="92"/>
      <c r="AL106" s="92">
        <v>17913.349999999999</v>
      </c>
      <c r="AM106" s="92">
        <v>22787.439999999999</v>
      </c>
      <c r="AN106" s="92">
        <v>36</v>
      </c>
      <c r="AO106" s="92">
        <v>47</v>
      </c>
      <c r="AP106" s="92">
        <v>271</v>
      </c>
      <c r="AQ106" s="92">
        <v>1148</v>
      </c>
      <c r="AR106" s="76">
        <v>1522</v>
      </c>
      <c r="AS106" s="76">
        <v>5060</v>
      </c>
      <c r="AT106" s="92">
        <v>2130.02</v>
      </c>
      <c r="AU106" s="92">
        <v>6684.03</v>
      </c>
      <c r="AV106" s="92">
        <v>3742</v>
      </c>
      <c r="AW106" s="92">
        <v>4741</v>
      </c>
      <c r="AX106" s="92">
        <v>350</v>
      </c>
      <c r="AY106" s="92">
        <v>460</v>
      </c>
      <c r="AZ106" s="92"/>
      <c r="BA106" s="92"/>
      <c r="BB106" s="92">
        <v>6179</v>
      </c>
      <c r="BC106" s="92">
        <v>13968</v>
      </c>
      <c r="BD106" s="92">
        <v>33758.839999999997</v>
      </c>
      <c r="BE106" s="92">
        <v>59508.06</v>
      </c>
      <c r="BF106" s="92">
        <v>20982</v>
      </c>
      <c r="BG106" s="92">
        <v>28489</v>
      </c>
      <c r="BH106" s="92">
        <v>5176</v>
      </c>
      <c r="BI106" s="92">
        <v>13194</v>
      </c>
      <c r="BJ106" s="92">
        <v>180</v>
      </c>
      <c r="BK106" s="92">
        <v>235</v>
      </c>
      <c r="BL106" s="68">
        <f t="shared" si="42"/>
        <v>138562.47999999998</v>
      </c>
      <c r="BM106" s="68">
        <f t="shared" si="43"/>
        <v>254383.57</v>
      </c>
    </row>
    <row r="107" spans="1:65" x14ac:dyDescent="0.25">
      <c r="A107" s="92" t="s">
        <v>293</v>
      </c>
      <c r="B107" s="92">
        <v>9553</v>
      </c>
      <c r="C107" s="92">
        <v>15827</v>
      </c>
      <c r="D107" s="92">
        <v>8905</v>
      </c>
      <c r="E107" s="92">
        <v>17446</v>
      </c>
      <c r="F107" s="92">
        <v>403007</v>
      </c>
      <c r="G107" s="92">
        <v>415894</v>
      </c>
      <c r="H107" s="92">
        <v>-286764</v>
      </c>
      <c r="I107" s="92">
        <v>-382684</v>
      </c>
      <c r="J107" s="92">
        <v>18409.849999999999</v>
      </c>
      <c r="K107" s="92">
        <v>34563.980000000003</v>
      </c>
      <c r="L107" s="92">
        <v>31674</v>
      </c>
      <c r="M107" s="92">
        <v>56417</v>
      </c>
      <c r="N107" s="92">
        <v>4766.62</v>
      </c>
      <c r="O107" s="92">
        <v>9793.33</v>
      </c>
      <c r="P107" s="92">
        <v>1325.84</v>
      </c>
      <c r="Q107" s="92">
        <v>2636.59</v>
      </c>
      <c r="R107" s="92">
        <v>48272.53</v>
      </c>
      <c r="S107" s="92">
        <v>69429.37</v>
      </c>
      <c r="T107" s="92">
        <v>22708</v>
      </c>
      <c r="U107" s="92">
        <v>49786</v>
      </c>
      <c r="V107" s="92">
        <v>-228764</v>
      </c>
      <c r="W107" s="92">
        <v>-342841</v>
      </c>
      <c r="X107" s="92">
        <v>145566</v>
      </c>
      <c r="Y107" s="92">
        <v>291447</v>
      </c>
      <c r="Z107" s="92">
        <v>97089</v>
      </c>
      <c r="AA107" s="92">
        <v>156265</v>
      </c>
      <c r="AB107" s="92">
        <v>3628</v>
      </c>
      <c r="AC107" s="92">
        <v>6383</v>
      </c>
      <c r="AD107" s="92">
        <v>4249</v>
      </c>
      <c r="AE107" s="92">
        <v>13802.89</v>
      </c>
      <c r="AF107" s="92">
        <v>-13079.46</v>
      </c>
      <c r="AG107" s="92">
        <v>-27326.05</v>
      </c>
      <c r="AH107" s="92">
        <v>1198.82</v>
      </c>
      <c r="AI107" s="92">
        <v>2315.16</v>
      </c>
      <c r="AJ107" s="92">
        <v>15312.64</v>
      </c>
      <c r="AK107" s="92">
        <v>29220.15</v>
      </c>
      <c r="AL107" s="92">
        <v>37803.22</v>
      </c>
      <c r="AM107" s="92">
        <v>74447.64</v>
      </c>
      <c r="AN107" s="92">
        <v>-411</v>
      </c>
      <c r="AO107" s="92">
        <v>-552</v>
      </c>
      <c r="AP107" s="92">
        <v>1743</v>
      </c>
      <c r="AQ107" s="92">
        <v>3726</v>
      </c>
      <c r="AR107" s="76">
        <v>128634</v>
      </c>
      <c r="AS107" s="76">
        <v>226478</v>
      </c>
      <c r="AT107" s="92">
        <v>-19616.88</v>
      </c>
      <c r="AU107" s="92">
        <v>-42943.06</v>
      </c>
      <c r="AV107" s="92">
        <v>173153</v>
      </c>
      <c r="AW107" s="92">
        <v>223741</v>
      </c>
      <c r="AX107" s="92">
        <v>3755</v>
      </c>
      <c r="AY107" s="92">
        <v>6697</v>
      </c>
      <c r="AZ107" s="92">
        <v>15540</v>
      </c>
      <c r="BA107" s="92">
        <v>29088</v>
      </c>
      <c r="BB107" s="92">
        <v>67706</v>
      </c>
      <c r="BC107" s="92">
        <v>148752</v>
      </c>
      <c r="BD107" s="92">
        <v>179504.68</v>
      </c>
      <c r="BE107" s="92">
        <v>405162.89</v>
      </c>
      <c r="BF107" s="92">
        <v>57830</v>
      </c>
      <c r="BG107" s="92">
        <v>126064</v>
      </c>
      <c r="BH107" s="92">
        <v>67522</v>
      </c>
      <c r="BI107" s="92">
        <v>139117</v>
      </c>
      <c r="BJ107" s="92">
        <v>76613</v>
      </c>
      <c r="BK107" s="92">
        <v>96132</v>
      </c>
      <c r="BL107" s="68">
        <f t="shared" si="42"/>
        <v>1076833.8599999999</v>
      </c>
      <c r="BM107" s="68">
        <f t="shared" si="43"/>
        <v>1854285.8900000001</v>
      </c>
    </row>
    <row r="108" spans="1:65" s="7" customFormat="1" x14ac:dyDescent="0.25">
      <c r="A108" s="10" t="s">
        <v>294</v>
      </c>
      <c r="B108" s="10">
        <v>14888</v>
      </c>
      <c r="C108" s="10">
        <v>25639</v>
      </c>
      <c r="D108" s="10">
        <v>30710</v>
      </c>
      <c r="E108" s="10">
        <v>58920</v>
      </c>
      <c r="F108" s="10">
        <v>372417</v>
      </c>
      <c r="G108" s="10">
        <v>380230</v>
      </c>
      <c r="H108" s="10">
        <v>216682</v>
      </c>
      <c r="I108" s="10">
        <v>370199</v>
      </c>
      <c r="J108" s="10"/>
      <c r="K108" s="10"/>
      <c r="L108" s="10">
        <v>91301</v>
      </c>
      <c r="M108" s="10">
        <v>156933</v>
      </c>
      <c r="N108" s="10">
        <v>21990.58</v>
      </c>
      <c r="O108" s="10">
        <v>36312.379999999997</v>
      </c>
      <c r="P108" s="10">
        <v>8275.01</v>
      </c>
      <c r="Q108" s="10">
        <v>13261.29</v>
      </c>
      <c r="R108" s="10">
        <v>65537.600000000006</v>
      </c>
      <c r="S108" s="10">
        <v>117271.3</v>
      </c>
      <c r="T108" s="10">
        <v>97331</v>
      </c>
      <c r="U108" s="10">
        <v>169851</v>
      </c>
      <c r="V108" s="10">
        <v>189210</v>
      </c>
      <c r="W108" s="10">
        <v>323393</v>
      </c>
      <c r="X108" s="10">
        <v>305284</v>
      </c>
      <c r="Y108" s="10">
        <v>586111</v>
      </c>
      <c r="Z108" s="10">
        <v>162059</v>
      </c>
      <c r="AA108" s="10">
        <v>289260</v>
      </c>
      <c r="AB108" s="10">
        <v>12554</v>
      </c>
      <c r="AC108" s="10">
        <v>21932</v>
      </c>
      <c r="AD108" s="10">
        <v>31416.14</v>
      </c>
      <c r="AE108" s="10">
        <v>55751.01</v>
      </c>
      <c r="AF108" s="10">
        <v>26887.67</v>
      </c>
      <c r="AG108" s="10">
        <v>44958.13</v>
      </c>
      <c r="AH108" s="10">
        <v>21844.17</v>
      </c>
      <c r="AI108" s="10">
        <v>41845.89</v>
      </c>
      <c r="AJ108" s="10">
        <v>51106.27</v>
      </c>
      <c r="AK108" s="10">
        <v>95676.66</v>
      </c>
      <c r="AL108" s="10">
        <v>359362.06</v>
      </c>
      <c r="AM108" s="10">
        <v>637206.39</v>
      </c>
      <c r="AN108" s="10">
        <v>2514</v>
      </c>
      <c r="AO108" s="10">
        <v>3156</v>
      </c>
      <c r="AP108" s="10">
        <v>8398</v>
      </c>
      <c r="AQ108" s="10">
        <v>16016</v>
      </c>
      <c r="AR108" s="10">
        <v>174695</v>
      </c>
      <c r="AS108" s="10">
        <v>285833</v>
      </c>
      <c r="AT108" s="10"/>
      <c r="AU108" s="10"/>
      <c r="AV108" s="10">
        <v>127048</v>
      </c>
      <c r="AW108" s="10">
        <v>193895</v>
      </c>
      <c r="AX108" s="10">
        <v>40229</v>
      </c>
      <c r="AY108" s="10">
        <v>71827</v>
      </c>
      <c r="AZ108" s="10">
        <v>272928</v>
      </c>
      <c r="BA108" s="10">
        <v>477890</v>
      </c>
      <c r="BB108" s="10">
        <v>167727</v>
      </c>
      <c r="BC108" s="10">
        <v>301871</v>
      </c>
      <c r="BD108" s="10">
        <v>732582.34</v>
      </c>
      <c r="BE108" s="10">
        <v>1478714.22</v>
      </c>
      <c r="BF108" s="10">
        <v>371529</v>
      </c>
      <c r="BG108" s="10">
        <v>631665</v>
      </c>
      <c r="BH108" s="10">
        <v>321450</v>
      </c>
      <c r="BI108" s="10">
        <v>625823</v>
      </c>
      <c r="BJ108" s="10">
        <v>30512</v>
      </c>
      <c r="BK108" s="10">
        <v>61104</v>
      </c>
      <c r="BL108" s="63">
        <f t="shared" si="42"/>
        <v>4328467.84</v>
      </c>
      <c r="BM108" s="63">
        <f t="shared" si="43"/>
        <v>7572545.2699999996</v>
      </c>
    </row>
    <row r="109" spans="1:65" x14ac:dyDescent="0.25">
      <c r="A109" s="92" t="s">
        <v>295</v>
      </c>
      <c r="B109" s="92">
        <v>15636</v>
      </c>
      <c r="C109" s="92">
        <v>12027</v>
      </c>
      <c r="D109" s="92">
        <v>54066</v>
      </c>
      <c r="E109" s="92">
        <v>49660</v>
      </c>
      <c r="F109" s="92"/>
      <c r="G109" s="92">
        <v>58878</v>
      </c>
      <c r="H109" s="92">
        <v>388602</v>
      </c>
      <c r="I109" s="92">
        <v>416598</v>
      </c>
      <c r="J109" s="92"/>
      <c r="K109" s="92"/>
      <c r="L109" s="92"/>
      <c r="M109" s="92">
        <v>236096</v>
      </c>
      <c r="N109" s="92">
        <v>11547.61</v>
      </c>
      <c r="O109" s="92">
        <v>17531.12</v>
      </c>
      <c r="P109" s="92">
        <v>10589.08</v>
      </c>
      <c r="Q109" s="92">
        <v>10589.21</v>
      </c>
      <c r="R109" s="92">
        <v>122811.06</v>
      </c>
      <c r="S109" s="92">
        <v>124021.25</v>
      </c>
      <c r="T109" s="92">
        <v>157010</v>
      </c>
      <c r="U109" s="92">
        <v>153127</v>
      </c>
      <c r="V109" s="92">
        <v>410129</v>
      </c>
      <c r="W109" s="92">
        <v>432537</v>
      </c>
      <c r="X109" s="92">
        <v>720160</v>
      </c>
      <c r="Y109" s="92">
        <v>650914</v>
      </c>
      <c r="Z109" s="92"/>
      <c r="AA109" s="92">
        <v>253756</v>
      </c>
      <c r="AB109" s="92">
        <v>31709</v>
      </c>
      <c r="AC109" s="92">
        <v>33860</v>
      </c>
      <c r="AD109" s="92"/>
      <c r="AE109" s="92"/>
      <c r="AF109" s="92">
        <v>44420.68</v>
      </c>
      <c r="AG109" s="92">
        <v>46590.3</v>
      </c>
      <c r="AH109" s="92">
        <v>39052.32</v>
      </c>
      <c r="AI109" s="92">
        <v>35854.15</v>
      </c>
      <c r="AJ109" s="92">
        <v>78037.36</v>
      </c>
      <c r="AK109" s="92">
        <v>67615.289999999994</v>
      </c>
      <c r="AL109" s="92">
        <v>598379.35</v>
      </c>
      <c r="AM109" s="92">
        <v>596944.37</v>
      </c>
      <c r="AN109" s="92">
        <v>18433</v>
      </c>
      <c r="AO109" s="92">
        <v>19821</v>
      </c>
      <c r="AP109" s="92">
        <v>16110</v>
      </c>
      <c r="AQ109" s="92">
        <v>15260</v>
      </c>
      <c r="AR109" s="92">
        <v>199565</v>
      </c>
      <c r="AS109" s="92">
        <v>192017</v>
      </c>
      <c r="AT109" s="92"/>
      <c r="AU109" s="92"/>
      <c r="AV109" s="92">
        <v>260929</v>
      </c>
      <c r="AW109" s="92">
        <v>287466</v>
      </c>
      <c r="AX109" s="92">
        <v>94220</v>
      </c>
      <c r="AY109" s="92">
        <v>111238</v>
      </c>
      <c r="AZ109" s="92">
        <v>497918</v>
      </c>
      <c r="BA109" s="92">
        <v>517253</v>
      </c>
      <c r="BB109" s="92">
        <v>324834</v>
      </c>
      <c r="BC109" s="92">
        <v>357772</v>
      </c>
      <c r="BD109" s="92"/>
      <c r="BE109" s="92"/>
      <c r="BF109" s="92">
        <v>0</v>
      </c>
      <c r="BG109" s="92">
        <v>0</v>
      </c>
      <c r="BH109" s="92">
        <v>707285</v>
      </c>
      <c r="BI109" s="92">
        <v>711239</v>
      </c>
      <c r="BJ109" s="92">
        <v>66288</v>
      </c>
      <c r="BK109" s="92">
        <v>64702</v>
      </c>
      <c r="BL109" s="68">
        <f t="shared" si="42"/>
        <v>4867731.46</v>
      </c>
      <c r="BM109" s="68">
        <f t="shared" si="43"/>
        <v>5473366.6899999995</v>
      </c>
    </row>
    <row r="110" spans="1:65" x14ac:dyDescent="0.25">
      <c r="A110" s="2" t="s">
        <v>296</v>
      </c>
      <c r="B110" s="92">
        <v>19840</v>
      </c>
      <c r="C110" s="92">
        <v>19840</v>
      </c>
      <c r="D110" s="92">
        <v>58144</v>
      </c>
      <c r="E110" s="92">
        <v>58144</v>
      </c>
      <c r="F110" s="92">
        <v>109676</v>
      </c>
      <c r="G110" s="92">
        <v>109676</v>
      </c>
      <c r="H110" s="92">
        <v>400671</v>
      </c>
      <c r="I110" s="92">
        <v>400671</v>
      </c>
      <c r="J110" s="92"/>
      <c r="K110" s="92"/>
      <c r="L110" s="92">
        <v>5863</v>
      </c>
      <c r="M110" s="92">
        <v>223856</v>
      </c>
      <c r="N110" s="92">
        <v>10995.29</v>
      </c>
      <c r="O110" s="92">
        <v>18156.189999999999</v>
      </c>
      <c r="P110" s="92">
        <v>12868.05</v>
      </c>
      <c r="Q110" s="92">
        <v>12868.05</v>
      </c>
      <c r="R110" s="92">
        <v>129888.39</v>
      </c>
      <c r="S110" s="92">
        <v>129888.39</v>
      </c>
      <c r="T110" s="92">
        <v>174040</v>
      </c>
      <c r="U110" s="92">
        <v>174040</v>
      </c>
      <c r="V110" s="92">
        <v>-418286</v>
      </c>
      <c r="W110" s="92">
        <v>-418286</v>
      </c>
      <c r="X110" s="92">
        <v>700415</v>
      </c>
      <c r="Y110" s="92">
        <v>700415</v>
      </c>
      <c r="Z110" s="92">
        <v>23981</v>
      </c>
      <c r="AA110" s="92">
        <v>274153</v>
      </c>
      <c r="AB110" s="92">
        <v>32839</v>
      </c>
      <c r="AC110" s="92">
        <v>32839</v>
      </c>
      <c r="AD110" s="92"/>
      <c r="AE110" s="92"/>
      <c r="AF110" s="92">
        <v>-48897.66</v>
      </c>
      <c r="AG110" s="92">
        <v>-48897.66</v>
      </c>
      <c r="AH110" s="92">
        <v>41164.629999999997</v>
      </c>
      <c r="AI110" s="92">
        <v>41164.629999999997</v>
      </c>
      <c r="AJ110" s="92">
        <v>87765.37</v>
      </c>
      <c r="AK110" s="92">
        <v>87765.37</v>
      </c>
      <c r="AL110" s="92">
        <v>609711.46</v>
      </c>
      <c r="AM110" s="92">
        <v>609711.46</v>
      </c>
      <c r="AN110" s="92">
        <v>-18912</v>
      </c>
      <c r="AO110" s="92">
        <v>-18912</v>
      </c>
      <c r="AP110" s="92">
        <v>17345</v>
      </c>
      <c r="AQ110" s="92">
        <v>17345</v>
      </c>
      <c r="AR110" s="92">
        <v>233882</v>
      </c>
      <c r="AS110" s="92">
        <v>233882</v>
      </c>
      <c r="AT110" s="92"/>
      <c r="AU110" s="92"/>
      <c r="AV110" s="92">
        <v>281770</v>
      </c>
      <c r="AW110" s="92">
        <v>281770</v>
      </c>
      <c r="AX110" s="92">
        <v>88471</v>
      </c>
      <c r="AY110" s="92">
        <v>88471</v>
      </c>
      <c r="AZ110" s="92">
        <v>529175</v>
      </c>
      <c r="BA110" s="92">
        <v>529175</v>
      </c>
      <c r="BB110" s="92">
        <v>349769</v>
      </c>
      <c r="BC110" s="92">
        <v>349769</v>
      </c>
      <c r="BD110" s="92"/>
      <c r="BE110" s="92"/>
      <c r="BF110" s="92">
        <v>50727</v>
      </c>
      <c r="BG110" s="92">
        <v>53977</v>
      </c>
      <c r="BH110" s="92">
        <v>712822</v>
      </c>
      <c r="BI110" s="92">
        <v>712822</v>
      </c>
      <c r="BJ110" s="92">
        <v>-79346</v>
      </c>
      <c r="BK110" s="92">
        <v>-79346</v>
      </c>
      <c r="BL110" s="68">
        <f t="shared" si="42"/>
        <v>4116381.5299999993</v>
      </c>
      <c r="BM110" s="68">
        <f t="shared" si="43"/>
        <v>4594957.43</v>
      </c>
    </row>
    <row r="111" spans="1:65" s="7" customFormat="1" x14ac:dyDescent="0.25">
      <c r="A111" s="10" t="s">
        <v>192</v>
      </c>
      <c r="B111" s="10">
        <v>10684</v>
      </c>
      <c r="C111" s="10">
        <v>17826</v>
      </c>
      <c r="D111" s="10">
        <v>26632</v>
      </c>
      <c r="E111" s="10">
        <v>50437</v>
      </c>
      <c r="F111" s="10">
        <v>262741</v>
      </c>
      <c r="G111" s="10">
        <v>329432</v>
      </c>
      <c r="H111" s="10">
        <v>204612</v>
      </c>
      <c r="I111" s="10">
        <v>386125</v>
      </c>
      <c r="J111" s="10">
        <v>62429.86</v>
      </c>
      <c r="K111" s="10">
        <v>109397.75</v>
      </c>
      <c r="L111" s="10">
        <v>85438</v>
      </c>
      <c r="M111" s="10">
        <v>169173</v>
      </c>
      <c r="N111" s="10">
        <v>22542.9</v>
      </c>
      <c r="O111" s="10">
        <v>35687.31</v>
      </c>
      <c r="P111" s="10">
        <v>5996.04</v>
      </c>
      <c r="Q111" s="10">
        <v>10982.45</v>
      </c>
      <c r="R111" s="10">
        <v>58460.28</v>
      </c>
      <c r="S111" s="10">
        <v>111404.16</v>
      </c>
      <c r="T111" s="10">
        <v>80301</v>
      </c>
      <c r="U111" s="10">
        <v>148937</v>
      </c>
      <c r="V111" s="10">
        <v>181053</v>
      </c>
      <c r="W111" s="10">
        <v>337644</v>
      </c>
      <c r="X111" s="10">
        <v>325029</v>
      </c>
      <c r="Y111" s="10">
        <v>640242</v>
      </c>
      <c r="Z111" s="10">
        <v>138078</v>
      </c>
      <c r="AA111" s="10">
        <v>268863</v>
      </c>
      <c r="AB111" s="10">
        <v>11424</v>
      </c>
      <c r="AC111" s="10">
        <v>22952</v>
      </c>
      <c r="AD111" s="10">
        <v>31800.2</v>
      </c>
      <c r="AE111" s="10">
        <v>62333.08</v>
      </c>
      <c r="AF111" s="10">
        <v>22410.69</v>
      </c>
      <c r="AG111" s="10">
        <v>42650.77</v>
      </c>
      <c r="AH111" s="10">
        <v>19731.86</v>
      </c>
      <c r="AI111" s="10">
        <v>36535.410000000003</v>
      </c>
      <c r="AJ111" s="10">
        <v>41378.25</v>
      </c>
      <c r="AK111" s="10">
        <v>75526.59</v>
      </c>
      <c r="AL111" s="10">
        <v>348029.95</v>
      </c>
      <c r="AM111" s="10">
        <v>624439.30000000005</v>
      </c>
      <c r="AN111" s="10">
        <v>2035</v>
      </c>
      <c r="AO111" s="10">
        <v>4064</v>
      </c>
      <c r="AP111" s="10">
        <v>7162</v>
      </c>
      <c r="AQ111" s="10">
        <v>13932</v>
      </c>
      <c r="AR111" s="10">
        <v>140377</v>
      </c>
      <c r="AS111" s="10">
        <v>243968</v>
      </c>
      <c r="AT111" s="10">
        <v>55546.77</v>
      </c>
      <c r="AU111" s="10">
        <v>108096.68</v>
      </c>
      <c r="AV111" s="10">
        <v>106207</v>
      </c>
      <c r="AW111" s="10">
        <v>199591</v>
      </c>
      <c r="AX111" s="10">
        <v>45978</v>
      </c>
      <c r="AY111" s="10">
        <v>94593</v>
      </c>
      <c r="AZ111" s="10">
        <v>241670</v>
      </c>
      <c r="BA111" s="10">
        <v>465968</v>
      </c>
      <c r="BB111" s="10">
        <v>142792</v>
      </c>
      <c r="BC111" s="10">
        <v>309874</v>
      </c>
      <c r="BD111" s="10">
        <v>747928.57</v>
      </c>
      <c r="BE111" s="10">
        <v>1424714.41</v>
      </c>
      <c r="BF111" s="10">
        <v>320801</v>
      </c>
      <c r="BG111" s="10">
        <v>577688</v>
      </c>
      <c r="BH111" s="10">
        <v>315913</v>
      </c>
      <c r="BI111" s="10">
        <v>624240</v>
      </c>
      <c r="BJ111" s="10">
        <v>17453</v>
      </c>
      <c r="BK111" s="10">
        <v>46460</v>
      </c>
      <c r="BL111" s="63">
        <f t="shared" si="42"/>
        <v>4082635.3699999996</v>
      </c>
      <c r="BM111" s="63">
        <f t="shared" si="43"/>
        <v>7593776.9100000001</v>
      </c>
    </row>
  </sheetData>
  <mergeCells count="320">
    <mergeCell ref="AR4:AS4"/>
    <mergeCell ref="V4:W4"/>
    <mergeCell ref="X4:Y4"/>
    <mergeCell ref="Z4:AA4"/>
    <mergeCell ref="AB4:AC4"/>
    <mergeCell ref="AD4:AE4"/>
    <mergeCell ref="AF4:AG4"/>
    <mergeCell ref="L4:M4"/>
    <mergeCell ref="N4:O4"/>
    <mergeCell ref="P4:Q4"/>
    <mergeCell ref="R4:S4"/>
    <mergeCell ref="T4:U4"/>
    <mergeCell ref="BF4:BG4"/>
    <mergeCell ref="BH4:BI4"/>
    <mergeCell ref="BJ4:BK4"/>
    <mergeCell ref="BL4:BM4"/>
    <mergeCell ref="B15:C15"/>
    <mergeCell ref="D15:E15"/>
    <mergeCell ref="F15:G15"/>
    <mergeCell ref="H15:I15"/>
    <mergeCell ref="AT4:AU4"/>
    <mergeCell ref="AV4:AW4"/>
    <mergeCell ref="AX4:AY4"/>
    <mergeCell ref="AZ4:BA4"/>
    <mergeCell ref="BB4:BC4"/>
    <mergeCell ref="BD4:BE4"/>
    <mergeCell ref="AH4:AI4"/>
    <mergeCell ref="AJ4:AK4"/>
    <mergeCell ref="AL4:AM4"/>
    <mergeCell ref="AN4:AO4"/>
    <mergeCell ref="AP4:AQ4"/>
    <mergeCell ref="B4:C4"/>
    <mergeCell ref="D4:E4"/>
    <mergeCell ref="F4:G4"/>
    <mergeCell ref="H4:I4"/>
    <mergeCell ref="J4:K4"/>
    <mergeCell ref="BF26:BG26"/>
    <mergeCell ref="BH26:BI26"/>
    <mergeCell ref="Z26:AA26"/>
    <mergeCell ref="BJ15:BK15"/>
    <mergeCell ref="BL15:BM15"/>
    <mergeCell ref="AR15:AS15"/>
    <mergeCell ref="AT15:AU15"/>
    <mergeCell ref="AV15:AW15"/>
    <mergeCell ref="AX15:AY15"/>
    <mergeCell ref="AZ15:BA15"/>
    <mergeCell ref="BB15:BC15"/>
    <mergeCell ref="Z15:AA15"/>
    <mergeCell ref="AB15:AC15"/>
    <mergeCell ref="AD15:AE15"/>
    <mergeCell ref="BD15:BE15"/>
    <mergeCell ref="BF15:BG15"/>
    <mergeCell ref="BH15:BI15"/>
    <mergeCell ref="AF15:AG15"/>
    <mergeCell ref="AH15:AI15"/>
    <mergeCell ref="AJ15:AK15"/>
    <mergeCell ref="AL15:AM15"/>
    <mergeCell ref="AN15:AO15"/>
    <mergeCell ref="AP15:AQ15"/>
    <mergeCell ref="AL26:AM26"/>
    <mergeCell ref="AN26:AO26"/>
    <mergeCell ref="AP26:AQ26"/>
    <mergeCell ref="AR26:AS26"/>
    <mergeCell ref="V26:W26"/>
    <mergeCell ref="X26:Y26"/>
    <mergeCell ref="J15:K15"/>
    <mergeCell ref="L15:M15"/>
    <mergeCell ref="N15:O15"/>
    <mergeCell ref="AB26:AC26"/>
    <mergeCell ref="L26:M26"/>
    <mergeCell ref="N26:O26"/>
    <mergeCell ref="P26:Q26"/>
    <mergeCell ref="R26:S26"/>
    <mergeCell ref="T26:U26"/>
    <mergeCell ref="P15:Q15"/>
    <mergeCell ref="R15:S15"/>
    <mergeCell ref="T15:U15"/>
    <mergeCell ref="V15:W15"/>
    <mergeCell ref="X15:Y15"/>
    <mergeCell ref="BL37:BM37"/>
    <mergeCell ref="AD26:AE26"/>
    <mergeCell ref="AF26:AG26"/>
    <mergeCell ref="AT37:AU37"/>
    <mergeCell ref="AV37:AW37"/>
    <mergeCell ref="AX37:AY37"/>
    <mergeCell ref="AZ37:BA37"/>
    <mergeCell ref="BB37:BC37"/>
    <mergeCell ref="B26:C26"/>
    <mergeCell ref="D26:E26"/>
    <mergeCell ref="F26:G26"/>
    <mergeCell ref="H26:I26"/>
    <mergeCell ref="J26:K26"/>
    <mergeCell ref="BL26:BM26"/>
    <mergeCell ref="B37:C37"/>
    <mergeCell ref="D37:E37"/>
    <mergeCell ref="F37:G37"/>
    <mergeCell ref="H37:I37"/>
    <mergeCell ref="AT26:AU26"/>
    <mergeCell ref="AV26:AW26"/>
    <mergeCell ref="AX26:AY26"/>
    <mergeCell ref="AZ26:BA26"/>
    <mergeCell ref="BB26:BC26"/>
    <mergeCell ref="BD26:BE26"/>
    <mergeCell ref="BJ26:BK26"/>
    <mergeCell ref="B48:C48"/>
    <mergeCell ref="D48:E48"/>
    <mergeCell ref="F48:G48"/>
    <mergeCell ref="H48:I48"/>
    <mergeCell ref="J48:K48"/>
    <mergeCell ref="BD37:BE37"/>
    <mergeCell ref="BF37:BG37"/>
    <mergeCell ref="BH37:BI37"/>
    <mergeCell ref="AF37:AG37"/>
    <mergeCell ref="AH37:AI37"/>
    <mergeCell ref="AJ37:AK37"/>
    <mergeCell ref="AL37:AM37"/>
    <mergeCell ref="AN37:AO37"/>
    <mergeCell ref="AP37:AQ37"/>
    <mergeCell ref="V37:W37"/>
    <mergeCell ref="X37:Y37"/>
    <mergeCell ref="Z37:AA37"/>
    <mergeCell ref="AB37:AC37"/>
    <mergeCell ref="AD37:AE37"/>
    <mergeCell ref="J37:K37"/>
    <mergeCell ref="BJ37:BK37"/>
    <mergeCell ref="AH26:AI26"/>
    <mergeCell ref="AJ26:AK26"/>
    <mergeCell ref="AT48:AU48"/>
    <mergeCell ref="V48:W48"/>
    <mergeCell ref="X48:Y48"/>
    <mergeCell ref="Z48:AA48"/>
    <mergeCell ref="AD48:AE48"/>
    <mergeCell ref="AF48:AG48"/>
    <mergeCell ref="L48:M48"/>
    <mergeCell ref="N48:O48"/>
    <mergeCell ref="P48:Q48"/>
    <mergeCell ref="R48:S48"/>
    <mergeCell ref="AR48:AS48"/>
    <mergeCell ref="L37:M37"/>
    <mergeCell ref="N37:O37"/>
    <mergeCell ref="AB48:AC48"/>
    <mergeCell ref="AR37:AS37"/>
    <mergeCell ref="B59:C59"/>
    <mergeCell ref="D59:E59"/>
    <mergeCell ref="F59:G59"/>
    <mergeCell ref="H59:I59"/>
    <mergeCell ref="P37:Q37"/>
    <mergeCell ref="R37:S37"/>
    <mergeCell ref="T37:U37"/>
    <mergeCell ref="AV59:AW59"/>
    <mergeCell ref="AX59:AY59"/>
    <mergeCell ref="AZ59:BA59"/>
    <mergeCell ref="BB59:BC59"/>
    <mergeCell ref="P59:Q59"/>
    <mergeCell ref="R59:S59"/>
    <mergeCell ref="T59:U59"/>
    <mergeCell ref="BJ48:BK48"/>
    <mergeCell ref="BL48:BM48"/>
    <mergeCell ref="BD48:BE48"/>
    <mergeCell ref="BJ59:BK59"/>
    <mergeCell ref="BL59:BM59"/>
    <mergeCell ref="T48:U48"/>
    <mergeCell ref="BF48:BG48"/>
    <mergeCell ref="BH48:BI48"/>
    <mergeCell ref="AV48:AW48"/>
    <mergeCell ref="AX48:AY48"/>
    <mergeCell ref="AZ48:BA48"/>
    <mergeCell ref="BB48:BC48"/>
    <mergeCell ref="AH48:AI48"/>
    <mergeCell ref="AJ48:AK48"/>
    <mergeCell ref="AL48:AM48"/>
    <mergeCell ref="AN48:AO48"/>
    <mergeCell ref="AP48:AQ48"/>
    <mergeCell ref="D70:E70"/>
    <mergeCell ref="F70:G70"/>
    <mergeCell ref="H70:I70"/>
    <mergeCell ref="J70:K70"/>
    <mergeCell ref="BD59:BE59"/>
    <mergeCell ref="BF59:BG59"/>
    <mergeCell ref="BH59:BI59"/>
    <mergeCell ref="AF59:AG59"/>
    <mergeCell ref="AH59:AI59"/>
    <mergeCell ref="AJ59:AK59"/>
    <mergeCell ref="AL59:AM59"/>
    <mergeCell ref="AN59:AO59"/>
    <mergeCell ref="AP59:AQ59"/>
    <mergeCell ref="V59:W59"/>
    <mergeCell ref="X59:Y59"/>
    <mergeCell ref="Z59:AA59"/>
    <mergeCell ref="AB59:AC59"/>
    <mergeCell ref="AD59:AE59"/>
    <mergeCell ref="J59:K59"/>
    <mergeCell ref="L59:M59"/>
    <mergeCell ref="N59:O59"/>
    <mergeCell ref="AB70:AC70"/>
    <mergeCell ref="AR59:AS59"/>
    <mergeCell ref="AT59:AU59"/>
    <mergeCell ref="B81:C81"/>
    <mergeCell ref="D81:E81"/>
    <mergeCell ref="F81:G81"/>
    <mergeCell ref="H81:I81"/>
    <mergeCell ref="AT70:AU70"/>
    <mergeCell ref="AV70:AW70"/>
    <mergeCell ref="AX70:AY70"/>
    <mergeCell ref="AZ70:BA70"/>
    <mergeCell ref="AH70:AI70"/>
    <mergeCell ref="AJ70:AK70"/>
    <mergeCell ref="AL70:AM70"/>
    <mergeCell ref="AN70:AO70"/>
    <mergeCell ref="AP70:AQ70"/>
    <mergeCell ref="AR70:AS70"/>
    <mergeCell ref="V70:W70"/>
    <mergeCell ref="X70:Y70"/>
    <mergeCell ref="Z70:AA70"/>
    <mergeCell ref="AD70:AE70"/>
    <mergeCell ref="AF70:AG70"/>
    <mergeCell ref="L70:M70"/>
    <mergeCell ref="N70:O70"/>
    <mergeCell ref="P70:Q70"/>
    <mergeCell ref="R70:S70"/>
    <mergeCell ref="B70:C70"/>
    <mergeCell ref="AZ81:BA81"/>
    <mergeCell ref="BB81:BC81"/>
    <mergeCell ref="P81:Q81"/>
    <mergeCell ref="R81:S81"/>
    <mergeCell ref="T81:U81"/>
    <mergeCell ref="BJ70:BK70"/>
    <mergeCell ref="BL70:BM70"/>
    <mergeCell ref="BB70:BC70"/>
    <mergeCell ref="BD70:BE70"/>
    <mergeCell ref="BJ81:BK81"/>
    <mergeCell ref="BL81:BM81"/>
    <mergeCell ref="T70:U70"/>
    <mergeCell ref="BF70:BG70"/>
    <mergeCell ref="BH70:BI70"/>
    <mergeCell ref="F92:G92"/>
    <mergeCell ref="H92:I92"/>
    <mergeCell ref="J92:K92"/>
    <mergeCell ref="BD81:BE81"/>
    <mergeCell ref="BF81:BG81"/>
    <mergeCell ref="BH81:BI81"/>
    <mergeCell ref="AF81:AG81"/>
    <mergeCell ref="AH81:AI81"/>
    <mergeCell ref="AJ81:AK81"/>
    <mergeCell ref="AL81:AM81"/>
    <mergeCell ref="AN81:AO81"/>
    <mergeCell ref="AP81:AQ81"/>
    <mergeCell ref="V81:W81"/>
    <mergeCell ref="X81:Y81"/>
    <mergeCell ref="Z81:AA81"/>
    <mergeCell ref="AB81:AC81"/>
    <mergeCell ref="AD81:AE81"/>
    <mergeCell ref="J81:K81"/>
    <mergeCell ref="L81:M81"/>
    <mergeCell ref="N81:O81"/>
    <mergeCell ref="AR81:AS81"/>
    <mergeCell ref="AT81:AU81"/>
    <mergeCell ref="AV81:AW81"/>
    <mergeCell ref="AX81:AY81"/>
    <mergeCell ref="BL92:BM92"/>
    <mergeCell ref="B103:C103"/>
    <mergeCell ref="D103:E103"/>
    <mergeCell ref="F103:G103"/>
    <mergeCell ref="H103:I103"/>
    <mergeCell ref="AT92:AU92"/>
    <mergeCell ref="AV92:AW92"/>
    <mergeCell ref="AX92:AY92"/>
    <mergeCell ref="AZ92:BA92"/>
    <mergeCell ref="BB92:BC92"/>
    <mergeCell ref="BD92:BE92"/>
    <mergeCell ref="AH92:AI92"/>
    <mergeCell ref="AJ92:AK92"/>
    <mergeCell ref="AL92:AM92"/>
    <mergeCell ref="AN92:AO92"/>
    <mergeCell ref="AP92:AQ92"/>
    <mergeCell ref="AR92:AS92"/>
    <mergeCell ref="V92:W92"/>
    <mergeCell ref="X92:Y92"/>
    <mergeCell ref="Z92:AA92"/>
    <mergeCell ref="AB92:AC92"/>
    <mergeCell ref="AD92:AE92"/>
    <mergeCell ref="B92:C92"/>
    <mergeCell ref="D92:E92"/>
    <mergeCell ref="J103:K103"/>
    <mergeCell ref="L103:M103"/>
    <mergeCell ref="N103:O103"/>
    <mergeCell ref="P103:Q103"/>
    <mergeCell ref="R103:S103"/>
    <mergeCell ref="T103:U103"/>
    <mergeCell ref="BF92:BG92"/>
    <mergeCell ref="BH92:BI92"/>
    <mergeCell ref="BJ92:BK92"/>
    <mergeCell ref="AF92:AG92"/>
    <mergeCell ref="L92:M92"/>
    <mergeCell ref="N92:O92"/>
    <mergeCell ref="P92:Q92"/>
    <mergeCell ref="R92:S92"/>
    <mergeCell ref="T92:U92"/>
    <mergeCell ref="AF103:AG103"/>
    <mergeCell ref="AH103:AI103"/>
    <mergeCell ref="AJ103:AK103"/>
    <mergeCell ref="AL103:AM103"/>
    <mergeCell ref="AN103:AO103"/>
    <mergeCell ref="AP103:AQ103"/>
    <mergeCell ref="V103:W103"/>
    <mergeCell ref="BL103:BM103"/>
    <mergeCell ref="AR103:AS103"/>
    <mergeCell ref="AT103:AU103"/>
    <mergeCell ref="AV103:AW103"/>
    <mergeCell ref="AX103:AY103"/>
    <mergeCell ref="AZ103:BA103"/>
    <mergeCell ref="BB103:BC103"/>
    <mergeCell ref="X103:Y103"/>
    <mergeCell ref="Z103:AA103"/>
    <mergeCell ref="AB103:AC103"/>
    <mergeCell ref="AD103:AE103"/>
    <mergeCell ref="BD103:BE103"/>
    <mergeCell ref="BF103:BG103"/>
    <mergeCell ref="BH103:BI103"/>
    <mergeCell ref="BJ103:BK10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1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5.140625" style="71" customWidth="1"/>
    <col min="2" max="65" width="16" style="71" customWidth="1"/>
    <col min="66" max="16384" width="9.140625" style="71"/>
  </cols>
  <sheetData>
    <row r="1" spans="1:65" ht="18.75" x14ac:dyDescent="0.3">
      <c r="A1" s="4" t="s">
        <v>191</v>
      </c>
    </row>
    <row r="2" spans="1:65" x14ac:dyDescent="0.25">
      <c r="A2" s="13" t="s">
        <v>98</v>
      </c>
    </row>
    <row r="3" spans="1:65" x14ac:dyDescent="0.25">
      <c r="A3" s="27" t="s">
        <v>182</v>
      </c>
    </row>
    <row r="4" spans="1:65" x14ac:dyDescent="0.25">
      <c r="A4" s="3" t="s">
        <v>0</v>
      </c>
      <c r="B4" s="147" t="s">
        <v>1</v>
      </c>
      <c r="C4" s="148"/>
      <c r="D4" s="147" t="s">
        <v>233</v>
      </c>
      <c r="E4" s="148"/>
      <c r="F4" s="147" t="s">
        <v>2</v>
      </c>
      <c r="G4" s="148"/>
      <c r="H4" s="147" t="s">
        <v>3</v>
      </c>
      <c r="I4" s="148"/>
      <c r="J4" s="147" t="s">
        <v>242</v>
      </c>
      <c r="K4" s="148"/>
      <c r="L4" s="147" t="s">
        <v>234</v>
      </c>
      <c r="M4" s="148"/>
      <c r="N4" s="147" t="s">
        <v>5</v>
      </c>
      <c r="O4" s="148"/>
      <c r="P4" s="147" t="s">
        <v>4</v>
      </c>
      <c r="Q4" s="148"/>
      <c r="R4" s="147" t="s">
        <v>6</v>
      </c>
      <c r="S4" s="148"/>
      <c r="T4" s="147" t="s">
        <v>254</v>
      </c>
      <c r="U4" s="148"/>
      <c r="V4" s="147" t="s">
        <v>7</v>
      </c>
      <c r="W4" s="148"/>
      <c r="X4" s="147" t="s">
        <v>8</v>
      </c>
      <c r="Y4" s="148"/>
      <c r="Z4" s="147" t="s">
        <v>9</v>
      </c>
      <c r="AA4" s="148"/>
      <c r="AB4" s="147" t="s">
        <v>241</v>
      </c>
      <c r="AC4" s="148"/>
      <c r="AD4" s="147" t="s">
        <v>10</v>
      </c>
      <c r="AE4" s="148"/>
      <c r="AF4" s="147" t="s">
        <v>11</v>
      </c>
      <c r="AG4" s="148"/>
      <c r="AH4" s="147" t="s">
        <v>235</v>
      </c>
      <c r="AI4" s="148"/>
      <c r="AJ4" s="147" t="s">
        <v>253</v>
      </c>
      <c r="AK4" s="148"/>
      <c r="AL4" s="147" t="s">
        <v>12</v>
      </c>
      <c r="AM4" s="148"/>
      <c r="AN4" s="147" t="s">
        <v>236</v>
      </c>
      <c r="AO4" s="148"/>
      <c r="AP4" s="147" t="s">
        <v>237</v>
      </c>
      <c r="AQ4" s="148"/>
      <c r="AR4" s="147" t="s">
        <v>240</v>
      </c>
      <c r="AS4" s="148"/>
      <c r="AT4" s="147" t="s">
        <v>13</v>
      </c>
      <c r="AU4" s="148"/>
      <c r="AV4" s="147" t="s">
        <v>14</v>
      </c>
      <c r="AW4" s="148"/>
      <c r="AX4" s="147" t="s">
        <v>15</v>
      </c>
      <c r="AY4" s="148"/>
      <c r="AZ4" s="147" t="s">
        <v>16</v>
      </c>
      <c r="BA4" s="148"/>
      <c r="BB4" s="147" t="s">
        <v>17</v>
      </c>
      <c r="BC4" s="148"/>
      <c r="BD4" s="147" t="s">
        <v>238</v>
      </c>
      <c r="BE4" s="148"/>
      <c r="BF4" s="147" t="s">
        <v>239</v>
      </c>
      <c r="BG4" s="148"/>
      <c r="BH4" s="147" t="s">
        <v>18</v>
      </c>
      <c r="BI4" s="148"/>
      <c r="BJ4" s="147" t="s">
        <v>19</v>
      </c>
      <c r="BK4" s="148"/>
      <c r="BL4" s="149" t="s">
        <v>20</v>
      </c>
      <c r="BM4" s="150"/>
    </row>
    <row r="5" spans="1:65" ht="30" x14ac:dyDescent="0.25">
      <c r="A5" s="3"/>
      <c r="B5" s="53" t="s">
        <v>243</v>
      </c>
      <c r="C5" s="54" t="s">
        <v>244</v>
      </c>
      <c r="D5" s="53" t="s">
        <v>243</v>
      </c>
      <c r="E5" s="54" t="s">
        <v>244</v>
      </c>
      <c r="F5" s="53" t="s">
        <v>243</v>
      </c>
      <c r="G5" s="54" t="s">
        <v>244</v>
      </c>
      <c r="H5" s="53" t="s">
        <v>243</v>
      </c>
      <c r="I5" s="54" t="s">
        <v>244</v>
      </c>
      <c r="J5" s="53" t="s">
        <v>243</v>
      </c>
      <c r="K5" s="54" t="s">
        <v>244</v>
      </c>
      <c r="L5" s="53" t="s">
        <v>243</v>
      </c>
      <c r="M5" s="54" t="s">
        <v>244</v>
      </c>
      <c r="N5" s="53" t="s">
        <v>243</v>
      </c>
      <c r="O5" s="54" t="s">
        <v>244</v>
      </c>
      <c r="P5" s="53" t="s">
        <v>243</v>
      </c>
      <c r="Q5" s="54" t="s">
        <v>244</v>
      </c>
      <c r="R5" s="53" t="s">
        <v>243</v>
      </c>
      <c r="S5" s="54" t="s">
        <v>244</v>
      </c>
      <c r="T5" s="53" t="s">
        <v>243</v>
      </c>
      <c r="U5" s="54" t="s">
        <v>244</v>
      </c>
      <c r="V5" s="53" t="s">
        <v>243</v>
      </c>
      <c r="W5" s="54" t="s">
        <v>244</v>
      </c>
      <c r="X5" s="53" t="s">
        <v>243</v>
      </c>
      <c r="Y5" s="54" t="s">
        <v>244</v>
      </c>
      <c r="Z5" s="53" t="s">
        <v>243</v>
      </c>
      <c r="AA5" s="54" t="s">
        <v>244</v>
      </c>
      <c r="AB5" s="53" t="s">
        <v>243</v>
      </c>
      <c r="AC5" s="54" t="s">
        <v>244</v>
      </c>
      <c r="AD5" s="53" t="s">
        <v>243</v>
      </c>
      <c r="AE5" s="54" t="s">
        <v>244</v>
      </c>
      <c r="AF5" s="53" t="s">
        <v>243</v>
      </c>
      <c r="AG5" s="54" t="s">
        <v>244</v>
      </c>
      <c r="AH5" s="53" t="s">
        <v>243</v>
      </c>
      <c r="AI5" s="54" t="s">
        <v>244</v>
      </c>
      <c r="AJ5" s="53" t="s">
        <v>243</v>
      </c>
      <c r="AK5" s="54" t="s">
        <v>244</v>
      </c>
      <c r="AL5" s="53" t="s">
        <v>243</v>
      </c>
      <c r="AM5" s="54" t="s">
        <v>244</v>
      </c>
      <c r="AN5" s="53" t="s">
        <v>243</v>
      </c>
      <c r="AO5" s="54" t="s">
        <v>244</v>
      </c>
      <c r="AP5" s="53" t="s">
        <v>243</v>
      </c>
      <c r="AQ5" s="54" t="s">
        <v>244</v>
      </c>
      <c r="AR5" s="53" t="s">
        <v>243</v>
      </c>
      <c r="AS5" s="54" t="s">
        <v>244</v>
      </c>
      <c r="AT5" s="53" t="s">
        <v>243</v>
      </c>
      <c r="AU5" s="54" t="s">
        <v>244</v>
      </c>
      <c r="AV5" s="53" t="s">
        <v>243</v>
      </c>
      <c r="AW5" s="54" t="s">
        <v>244</v>
      </c>
      <c r="AX5" s="53" t="s">
        <v>243</v>
      </c>
      <c r="AY5" s="54" t="s">
        <v>244</v>
      </c>
      <c r="AZ5" s="53" t="s">
        <v>243</v>
      </c>
      <c r="BA5" s="54" t="s">
        <v>244</v>
      </c>
      <c r="BB5" s="53" t="s">
        <v>243</v>
      </c>
      <c r="BC5" s="54" t="s">
        <v>244</v>
      </c>
      <c r="BD5" s="53" t="s">
        <v>243</v>
      </c>
      <c r="BE5" s="54" t="s">
        <v>244</v>
      </c>
      <c r="BF5" s="53" t="s">
        <v>243</v>
      </c>
      <c r="BG5" s="54" t="s">
        <v>244</v>
      </c>
      <c r="BH5" s="53" t="s">
        <v>243</v>
      </c>
      <c r="BI5" s="54" t="s">
        <v>244</v>
      </c>
      <c r="BJ5" s="53" t="s">
        <v>243</v>
      </c>
      <c r="BK5" s="54" t="s">
        <v>244</v>
      </c>
      <c r="BL5" s="105" t="s">
        <v>243</v>
      </c>
      <c r="BM5" s="106" t="s">
        <v>244</v>
      </c>
    </row>
    <row r="6" spans="1:65" x14ac:dyDescent="0.25">
      <c r="A6" s="20" t="s">
        <v>297</v>
      </c>
      <c r="B6" s="76"/>
      <c r="C6" s="76"/>
      <c r="D6" s="76"/>
      <c r="E6" s="76"/>
      <c r="F6" s="76"/>
      <c r="G6" s="76"/>
      <c r="H6" s="92">
        <v>8644</v>
      </c>
      <c r="I6" s="92">
        <v>18601</v>
      </c>
      <c r="J6" s="76"/>
      <c r="K6" s="76"/>
      <c r="L6" s="92">
        <v>1671</v>
      </c>
      <c r="M6" s="92">
        <v>3386</v>
      </c>
      <c r="N6" s="76"/>
      <c r="O6" s="76"/>
      <c r="P6" s="92">
        <v>45.09</v>
      </c>
      <c r="Q6" s="92">
        <v>69.680000000000007</v>
      </c>
      <c r="R6" s="92">
        <v>3149.23</v>
      </c>
      <c r="S6" s="92">
        <v>6992.97</v>
      </c>
      <c r="T6" s="92">
        <v>434</v>
      </c>
      <c r="U6" s="92">
        <v>1793</v>
      </c>
      <c r="V6" s="92">
        <v>11006</v>
      </c>
      <c r="W6" s="92">
        <v>19636</v>
      </c>
      <c r="X6" s="92">
        <v>17325</v>
      </c>
      <c r="Y6" s="92">
        <v>32930</v>
      </c>
      <c r="Z6" s="92">
        <v>5929</v>
      </c>
      <c r="AA6" s="92">
        <v>15194</v>
      </c>
      <c r="AB6" s="92">
        <v>178</v>
      </c>
      <c r="AC6" s="92">
        <v>430</v>
      </c>
      <c r="AD6" s="92">
        <v>369.2</v>
      </c>
      <c r="AE6" s="92">
        <v>1101.1099999999999</v>
      </c>
      <c r="AF6" s="92">
        <v>610.08000000000004</v>
      </c>
      <c r="AG6" s="92">
        <v>1515.27</v>
      </c>
      <c r="AH6" s="76"/>
      <c r="AI6" s="76"/>
      <c r="AJ6" s="76"/>
      <c r="AK6" s="76"/>
      <c r="AL6" s="92">
        <v>11437.41</v>
      </c>
      <c r="AM6" s="92">
        <v>19968.11</v>
      </c>
      <c r="AN6" s="92">
        <v>10</v>
      </c>
      <c r="AO6" s="92">
        <v>11</v>
      </c>
      <c r="AP6" s="92">
        <v>6</v>
      </c>
      <c r="AQ6" s="92">
        <v>20</v>
      </c>
      <c r="AR6" s="76">
        <v>6432</v>
      </c>
      <c r="AS6" s="76">
        <v>9817</v>
      </c>
      <c r="AT6" s="92">
        <v>2157.77</v>
      </c>
      <c r="AU6" s="92">
        <v>4833.83</v>
      </c>
      <c r="AV6" s="92">
        <v>5980</v>
      </c>
      <c r="AW6" s="92">
        <v>9194</v>
      </c>
      <c r="AX6" s="92">
        <v>212</v>
      </c>
      <c r="AY6" s="92">
        <v>349</v>
      </c>
      <c r="AZ6" s="76"/>
      <c r="BA6" s="76"/>
      <c r="BB6" s="92">
        <v>11209</v>
      </c>
      <c r="BC6" s="92">
        <v>17203</v>
      </c>
      <c r="BD6" s="92">
        <v>46019.73</v>
      </c>
      <c r="BE6" s="92">
        <v>78863.13</v>
      </c>
      <c r="BF6" s="92">
        <v>21531</v>
      </c>
      <c r="BG6" s="92">
        <v>33801</v>
      </c>
      <c r="BH6" s="92">
        <v>13972</v>
      </c>
      <c r="BI6" s="92">
        <v>28044</v>
      </c>
      <c r="BJ6" s="92">
        <v>563</v>
      </c>
      <c r="BK6" s="92">
        <v>1707</v>
      </c>
      <c r="BL6" s="68">
        <f>SUM(B6+D6+F6+H6+J6+L6+N6+P6+R6+T6+V6+X6+Z6+AB6+AD6+AF6+AH6+AJ6+AL6+AN6+AP6+AR6+AT6+AV6+AX6+AZ6+BB6+BD6+BF6+BH6+BJ6)</f>
        <v>168890.51</v>
      </c>
      <c r="BM6" s="68">
        <f>SUM(C6+E6+G6+I6+K6+M6+O6+Q6+S6+U6+W6+Y6+AA6+AC6+AE6+AG6+AI6+AK6+AM6+AO6+AQ6+AS6+AU6+AW6+AY6+BA6+BC6+BE6+BG6+BI6+BK6)</f>
        <v>305460.09999999998</v>
      </c>
    </row>
    <row r="7" spans="1:65" x14ac:dyDescent="0.25">
      <c r="A7" s="20" t="s">
        <v>298</v>
      </c>
      <c r="B7" s="76"/>
      <c r="C7" s="76"/>
      <c r="D7" s="76"/>
      <c r="E7" s="76"/>
      <c r="F7" s="76"/>
      <c r="G7" s="76"/>
      <c r="H7" s="92">
        <v>449</v>
      </c>
      <c r="I7" s="92">
        <v>510.5</v>
      </c>
      <c r="J7" s="76"/>
      <c r="K7" s="76"/>
      <c r="L7" s="92">
        <v>-41</v>
      </c>
      <c r="M7" s="92">
        <v>-40</v>
      </c>
      <c r="N7" s="76"/>
      <c r="O7" s="76"/>
      <c r="P7" s="92">
        <v>0.15</v>
      </c>
      <c r="Q7" s="92">
        <v>16.86</v>
      </c>
      <c r="R7" s="92">
        <v>292.58</v>
      </c>
      <c r="S7" s="92">
        <v>738.39</v>
      </c>
      <c r="T7" s="92">
        <v>1533</v>
      </c>
      <c r="U7" s="92">
        <v>2351</v>
      </c>
      <c r="V7" s="92">
        <v>1424</v>
      </c>
      <c r="W7" s="92">
        <v>2656</v>
      </c>
      <c r="X7" s="92">
        <v>246</v>
      </c>
      <c r="Y7" s="92">
        <v>767</v>
      </c>
      <c r="Z7" s="92">
        <v>822</v>
      </c>
      <c r="AA7" s="92">
        <v>1110</v>
      </c>
      <c r="AB7" s="92">
        <v>-10</v>
      </c>
      <c r="AC7" s="92">
        <v>-10</v>
      </c>
      <c r="AD7" s="92">
        <v>-21.98</v>
      </c>
      <c r="AE7" s="92">
        <v>-21.67</v>
      </c>
      <c r="AF7" s="92">
        <v>456.86</v>
      </c>
      <c r="AG7" s="92">
        <v>1500.23</v>
      </c>
      <c r="AH7" s="76"/>
      <c r="AI7" s="76"/>
      <c r="AJ7" s="76"/>
      <c r="AK7" s="76"/>
      <c r="AL7" s="92">
        <v>2054.35</v>
      </c>
      <c r="AM7" s="92">
        <v>4050.2</v>
      </c>
      <c r="AN7" s="92">
        <v>-1</v>
      </c>
      <c r="AO7" s="92">
        <v>-1</v>
      </c>
      <c r="AP7" s="92">
        <v>11</v>
      </c>
      <c r="AQ7" s="92">
        <v>11</v>
      </c>
      <c r="AR7" s="76">
        <v>321</v>
      </c>
      <c r="AS7" s="76">
        <v>377</v>
      </c>
      <c r="AT7" s="92">
        <v>170</v>
      </c>
      <c r="AU7" s="92">
        <v>767.28</v>
      </c>
      <c r="AV7" s="92">
        <v>-14</v>
      </c>
      <c r="AW7" s="92">
        <v>-14</v>
      </c>
      <c r="AX7" s="92">
        <v>-21</v>
      </c>
      <c r="AY7" s="92">
        <v>-21</v>
      </c>
      <c r="AZ7" s="76"/>
      <c r="BA7" s="76"/>
      <c r="BB7" s="92">
        <v>878</v>
      </c>
      <c r="BC7" s="92">
        <v>1732</v>
      </c>
      <c r="BD7" s="92">
        <v>19144.509999999998</v>
      </c>
      <c r="BE7" s="92">
        <v>34777.1</v>
      </c>
      <c r="BF7" s="92">
        <v>3593</v>
      </c>
      <c r="BG7" s="92">
        <v>5392</v>
      </c>
      <c r="BH7" s="92">
        <v>88</v>
      </c>
      <c r="BI7" s="92">
        <v>608</v>
      </c>
      <c r="BJ7" s="92">
        <v>-11</v>
      </c>
      <c r="BK7" s="92">
        <v>-11</v>
      </c>
      <c r="BL7" s="68">
        <f t="shared" ref="BL7:BL12" si="0">SUM(B7+D7+F7+H7+J7+L7+N7+P7+R7+T7+V7+X7+Z7+AB7+AD7+AF7+AH7+AJ7+AL7+AN7+AP7+AR7+AT7+AV7+AX7+AZ7+BB7+BD7+BF7+BH7+BJ7)</f>
        <v>31363.469999999998</v>
      </c>
      <c r="BM7" s="68">
        <f t="shared" ref="BM7:BM12" si="1">SUM(C7+E7+G7+I7+K7+M7+O7+Q7+S7+U7+W7+Y7+AA7+AC7+AE7+AG7+AI7+AK7+AM7+AO7+AQ7+AS7+AU7+AW7+AY7+BA7+BC7+BE7+BG7+BI7+BK7)</f>
        <v>57245.89</v>
      </c>
    </row>
    <row r="8" spans="1:65" x14ac:dyDescent="0.25">
      <c r="A8" s="20" t="s">
        <v>299</v>
      </c>
      <c r="B8" s="76"/>
      <c r="C8" s="76"/>
      <c r="D8" s="76"/>
      <c r="E8" s="76"/>
      <c r="F8" s="76"/>
      <c r="G8" s="76"/>
      <c r="H8" s="92">
        <v>-5325</v>
      </c>
      <c r="I8" s="92">
        <v>-11940</v>
      </c>
      <c r="J8" s="76"/>
      <c r="K8" s="76"/>
      <c r="L8" s="92">
        <v>918</v>
      </c>
      <c r="M8" s="92">
        <v>1754</v>
      </c>
      <c r="N8" s="76"/>
      <c r="O8" s="76"/>
      <c r="P8" s="92">
        <v>43.83</v>
      </c>
      <c r="Q8" s="92">
        <v>78.8</v>
      </c>
      <c r="R8" s="92">
        <v>1954.6</v>
      </c>
      <c r="S8" s="92">
        <v>4971.3999999999996</v>
      </c>
      <c r="T8" s="92">
        <v>1754</v>
      </c>
      <c r="U8" s="92">
        <v>3604</v>
      </c>
      <c r="V8" s="92">
        <v>-10201</v>
      </c>
      <c r="W8" s="92">
        <v>-17806</v>
      </c>
      <c r="X8" s="92">
        <v>12120</v>
      </c>
      <c r="Y8" s="92">
        <v>23404</v>
      </c>
      <c r="Z8" s="92">
        <v>5509</v>
      </c>
      <c r="AA8" s="92">
        <v>13448</v>
      </c>
      <c r="AB8" s="92">
        <v>115</v>
      </c>
      <c r="AC8" s="92">
        <v>288</v>
      </c>
      <c r="AD8" s="92">
        <v>200.31</v>
      </c>
      <c r="AE8" s="92">
        <v>698.93</v>
      </c>
      <c r="AF8" s="92">
        <v>-773.64</v>
      </c>
      <c r="AG8" s="92">
        <v>-2457.38</v>
      </c>
      <c r="AH8" s="76"/>
      <c r="AI8" s="76"/>
      <c r="AJ8" s="76"/>
      <c r="AK8" s="76"/>
      <c r="AL8" s="92">
        <v>2394.9899999999998</v>
      </c>
      <c r="AM8" s="92">
        <v>-7983.3</v>
      </c>
      <c r="AN8" s="92">
        <v>-4</v>
      </c>
      <c r="AO8" s="92">
        <v>-4</v>
      </c>
      <c r="AP8" s="92">
        <v>16</v>
      </c>
      <c r="AQ8" s="92">
        <v>26</v>
      </c>
      <c r="AR8" s="76">
        <v>4518</v>
      </c>
      <c r="AS8" s="76">
        <v>6923</v>
      </c>
      <c r="AT8" s="92">
        <v>-1876.08</v>
      </c>
      <c r="AU8" s="92">
        <v>-4271.5</v>
      </c>
      <c r="AV8" s="92">
        <v>3511</v>
      </c>
      <c r="AW8" s="92">
        <v>5404</v>
      </c>
      <c r="AX8" s="92">
        <v>170</v>
      </c>
      <c r="AY8" s="92">
        <v>240</v>
      </c>
      <c r="AZ8" s="76"/>
      <c r="BA8" s="76"/>
      <c r="BB8" s="92">
        <v>8908</v>
      </c>
      <c r="BC8" s="92">
        <v>14112</v>
      </c>
      <c r="BD8" s="92">
        <v>15072.69</v>
      </c>
      <c r="BE8" s="92">
        <v>18627.46</v>
      </c>
      <c r="BF8" s="92">
        <v>9996</v>
      </c>
      <c r="BG8" s="92">
        <v>13896</v>
      </c>
      <c r="BH8" s="92">
        <v>3718</v>
      </c>
      <c r="BI8" s="92">
        <v>8695</v>
      </c>
      <c r="BJ8" s="92">
        <v>432</v>
      </c>
      <c r="BK8" s="92">
        <v>1020</v>
      </c>
      <c r="BL8" s="68">
        <f t="shared" si="0"/>
        <v>53171.700000000004</v>
      </c>
      <c r="BM8" s="68">
        <f t="shared" si="1"/>
        <v>72728.41</v>
      </c>
    </row>
    <row r="9" spans="1:65" s="7" customFormat="1" x14ac:dyDescent="0.25">
      <c r="A9" s="3" t="s">
        <v>300</v>
      </c>
      <c r="B9" s="10"/>
      <c r="C9" s="10"/>
      <c r="D9" s="10"/>
      <c r="E9" s="10"/>
      <c r="F9" s="10"/>
      <c r="G9" s="10"/>
      <c r="H9" s="10">
        <v>3768</v>
      </c>
      <c r="I9" s="10">
        <v>7172</v>
      </c>
      <c r="J9" s="10"/>
      <c r="K9" s="10"/>
      <c r="L9" s="10">
        <v>712</v>
      </c>
      <c r="M9" s="10">
        <v>1592</v>
      </c>
      <c r="N9" s="10"/>
      <c r="O9" s="10"/>
      <c r="P9" s="10">
        <v>1.41</v>
      </c>
      <c r="Q9" s="10">
        <v>7.74</v>
      </c>
      <c r="R9" s="10">
        <v>1487.2</v>
      </c>
      <c r="S9" s="10">
        <v>2759.97</v>
      </c>
      <c r="T9" s="10">
        <v>213</v>
      </c>
      <c r="U9" s="10">
        <v>540</v>
      </c>
      <c r="V9" s="10">
        <v>2229</v>
      </c>
      <c r="W9" s="10">
        <v>4485</v>
      </c>
      <c r="X9" s="10">
        <v>5451</v>
      </c>
      <c r="Y9" s="10">
        <v>10293</v>
      </c>
      <c r="Z9" s="10">
        <v>1242</v>
      </c>
      <c r="AA9" s="10">
        <v>2857</v>
      </c>
      <c r="AB9" s="10">
        <v>53</v>
      </c>
      <c r="AC9" s="10">
        <v>132</v>
      </c>
      <c r="AD9" s="10"/>
      <c r="AE9" s="10"/>
      <c r="AF9" s="10">
        <v>293.3</v>
      </c>
      <c r="AG9" s="10">
        <v>558.12</v>
      </c>
      <c r="AH9" s="10"/>
      <c r="AI9" s="10"/>
      <c r="AJ9" s="10"/>
      <c r="AK9" s="10"/>
      <c r="AL9" s="10">
        <v>11096.77</v>
      </c>
      <c r="AM9" s="10">
        <v>32001.61</v>
      </c>
      <c r="AN9" s="10">
        <v>6</v>
      </c>
      <c r="AO9" s="10">
        <v>7</v>
      </c>
      <c r="AP9" s="10">
        <v>1</v>
      </c>
      <c r="AQ9" s="10">
        <v>4</v>
      </c>
      <c r="AR9" s="10">
        <v>2235</v>
      </c>
      <c r="AS9" s="10">
        <v>3271</v>
      </c>
      <c r="AT9" s="10"/>
      <c r="AU9" s="10"/>
      <c r="AV9" s="10">
        <v>2455</v>
      </c>
      <c r="AW9" s="10">
        <v>3776</v>
      </c>
      <c r="AX9" s="10">
        <v>20</v>
      </c>
      <c r="AY9" s="10">
        <v>88</v>
      </c>
      <c r="AZ9" s="10"/>
      <c r="BA9" s="10"/>
      <c r="BB9" s="10"/>
      <c r="BC9" s="10">
        <v>4823</v>
      </c>
      <c r="BD9" s="10"/>
      <c r="BE9" s="10"/>
      <c r="BF9" s="10">
        <v>15128</v>
      </c>
      <c r="BG9" s="10">
        <v>25297</v>
      </c>
      <c r="BH9" s="10">
        <v>10343</v>
      </c>
      <c r="BI9" s="10">
        <v>19957</v>
      </c>
      <c r="BJ9" s="10">
        <v>120</v>
      </c>
      <c r="BK9" s="10">
        <v>676</v>
      </c>
      <c r="BL9" s="63">
        <f t="shared" si="0"/>
        <v>56854.68</v>
      </c>
      <c r="BM9" s="63">
        <f t="shared" si="1"/>
        <v>120297.44</v>
      </c>
    </row>
    <row r="10" spans="1:65" x14ac:dyDescent="0.25">
      <c r="A10" s="20" t="s">
        <v>301</v>
      </c>
      <c r="B10" s="92">
        <v>2</v>
      </c>
      <c r="C10" s="92">
        <v>2</v>
      </c>
      <c r="D10" s="76"/>
      <c r="E10" s="76"/>
      <c r="F10" s="76"/>
      <c r="G10" s="76"/>
      <c r="H10" s="92">
        <v>22524</v>
      </c>
      <c r="I10" s="92">
        <v>22524</v>
      </c>
      <c r="J10" s="76"/>
      <c r="K10" s="76"/>
      <c r="L10" s="92">
        <v>578</v>
      </c>
      <c r="M10" s="92">
        <v>6362</v>
      </c>
      <c r="N10" s="76"/>
      <c r="O10" s="76"/>
      <c r="P10" s="92">
        <v>682.59</v>
      </c>
      <c r="Q10" s="92">
        <v>682.59</v>
      </c>
      <c r="R10" s="92">
        <v>15529.94</v>
      </c>
      <c r="S10" s="92">
        <v>15529.94</v>
      </c>
      <c r="T10" s="92">
        <v>4798</v>
      </c>
      <c r="U10" s="92">
        <v>4798</v>
      </c>
      <c r="V10" s="92">
        <v>27007</v>
      </c>
      <c r="W10" s="92">
        <v>27007</v>
      </c>
      <c r="X10" s="92">
        <v>58977</v>
      </c>
      <c r="Y10" s="92">
        <v>58977</v>
      </c>
      <c r="Z10" s="92">
        <v>939</v>
      </c>
      <c r="AA10" s="92">
        <v>9959</v>
      </c>
      <c r="AB10" s="92">
        <v>736</v>
      </c>
      <c r="AC10" s="92">
        <v>736</v>
      </c>
      <c r="AD10" s="92">
        <v>7927.15</v>
      </c>
      <c r="AE10" s="92">
        <v>7927.15</v>
      </c>
      <c r="AF10" s="92">
        <v>3325.03</v>
      </c>
      <c r="AG10" s="92">
        <v>3325.03</v>
      </c>
      <c r="AH10" s="76"/>
      <c r="AI10" s="76"/>
      <c r="AJ10" s="76"/>
      <c r="AK10" s="76"/>
      <c r="AL10" s="92">
        <v>145082.75</v>
      </c>
      <c r="AM10" s="92">
        <v>145082.75</v>
      </c>
      <c r="AN10" s="92">
        <v>357</v>
      </c>
      <c r="AO10" s="92">
        <v>357</v>
      </c>
      <c r="AP10" s="92">
        <v>349</v>
      </c>
      <c r="AQ10" s="92">
        <v>349</v>
      </c>
      <c r="AR10" s="76">
        <v>20095</v>
      </c>
      <c r="AS10" s="76">
        <v>20095</v>
      </c>
      <c r="AT10" s="92">
        <v>2098.5500000000002</v>
      </c>
      <c r="AU10" s="92">
        <v>23818.080000000002</v>
      </c>
      <c r="AV10" s="92">
        <v>29144</v>
      </c>
      <c r="AW10" s="92">
        <v>29144</v>
      </c>
      <c r="AX10" s="92">
        <v>2121</v>
      </c>
      <c r="AY10" s="92">
        <v>2121</v>
      </c>
      <c r="AZ10" s="76"/>
      <c r="BA10" s="76"/>
      <c r="BB10" s="92">
        <v>20356</v>
      </c>
      <c r="BC10" s="92">
        <v>20356</v>
      </c>
      <c r="BD10" s="92">
        <v>695780.05</v>
      </c>
      <c r="BE10" s="92">
        <v>695780.05</v>
      </c>
      <c r="BF10" s="92">
        <v>4569</v>
      </c>
      <c r="BG10" s="92">
        <v>110112</v>
      </c>
      <c r="BH10" s="92">
        <v>184404</v>
      </c>
      <c r="BI10" s="92">
        <v>184404</v>
      </c>
      <c r="BJ10" s="92">
        <v>315</v>
      </c>
      <c r="BK10" s="92">
        <v>5345</v>
      </c>
      <c r="BL10" s="68">
        <f t="shared" si="0"/>
        <v>1247697.06</v>
      </c>
      <c r="BM10" s="68">
        <f t="shared" si="1"/>
        <v>1394793.59</v>
      </c>
    </row>
    <row r="11" spans="1:65" ht="15" customHeight="1" x14ac:dyDescent="0.25">
      <c r="A11" s="20" t="s">
        <v>302</v>
      </c>
      <c r="B11" s="92">
        <v>1</v>
      </c>
      <c r="C11" s="92">
        <v>0</v>
      </c>
      <c r="D11" s="76"/>
      <c r="E11" s="76"/>
      <c r="F11" s="76"/>
      <c r="G11" s="76"/>
      <c r="H11" s="92">
        <v>21419</v>
      </c>
      <c r="I11" s="92">
        <v>20121</v>
      </c>
      <c r="J11" s="76"/>
      <c r="K11" s="76"/>
      <c r="L11" s="92"/>
      <c r="M11" s="92">
        <v>4682</v>
      </c>
      <c r="N11" s="76"/>
      <c r="O11" s="76"/>
      <c r="P11" s="92">
        <v>608.03</v>
      </c>
      <c r="Q11" s="92">
        <v>551.29</v>
      </c>
      <c r="R11" s="92">
        <v>14913.94</v>
      </c>
      <c r="S11" s="92">
        <v>10293.450000000001</v>
      </c>
      <c r="T11" s="92">
        <v>3749</v>
      </c>
      <c r="U11" s="92">
        <v>3360</v>
      </c>
      <c r="V11" s="92">
        <v>-21887</v>
      </c>
      <c r="W11" s="92">
        <v>-20482</v>
      </c>
      <c r="X11" s="92">
        <v>54186</v>
      </c>
      <c r="Y11" s="92">
        <v>41703</v>
      </c>
      <c r="Z11" s="92"/>
      <c r="AA11" s="92">
        <v>8483</v>
      </c>
      <c r="AB11" s="92">
        <v>623</v>
      </c>
      <c r="AC11" s="92">
        <v>923</v>
      </c>
      <c r="AD11" s="92">
        <v>7120.03</v>
      </c>
      <c r="AE11" s="92">
        <v>6963.16</v>
      </c>
      <c r="AF11" s="92">
        <v>-2799.6</v>
      </c>
      <c r="AG11" s="92">
        <v>-2816.18</v>
      </c>
      <c r="AH11" s="76"/>
      <c r="AI11" s="76"/>
      <c r="AJ11" s="76"/>
      <c r="AK11" s="76"/>
      <c r="AL11" s="92">
        <v>143728.43</v>
      </c>
      <c r="AM11" s="92">
        <v>130971.29</v>
      </c>
      <c r="AN11" s="92">
        <v>-374</v>
      </c>
      <c r="AO11" s="92">
        <v>-321</v>
      </c>
      <c r="AP11" s="92">
        <v>180</v>
      </c>
      <c r="AQ11" s="92">
        <v>131</v>
      </c>
      <c r="AR11" s="76">
        <v>19171</v>
      </c>
      <c r="AS11" s="76">
        <v>16652</v>
      </c>
      <c r="AT11" s="76"/>
      <c r="AU11" s="92">
        <v>-22984.880000000001</v>
      </c>
      <c r="AV11" s="92">
        <v>24966</v>
      </c>
      <c r="AW11" s="92">
        <v>18485</v>
      </c>
      <c r="AX11" s="92">
        <v>1776</v>
      </c>
      <c r="AY11" s="92">
        <v>1757</v>
      </c>
      <c r="AZ11" s="76"/>
      <c r="BA11" s="76"/>
      <c r="BB11" s="92">
        <v>17274</v>
      </c>
      <c r="BC11" s="92">
        <v>12164</v>
      </c>
      <c r="BD11" s="92">
        <v>654898.9</v>
      </c>
      <c r="BE11" s="92">
        <v>615375.55000000005</v>
      </c>
      <c r="BF11" s="92">
        <v>0</v>
      </c>
      <c r="BG11" s="92">
        <v>111527</v>
      </c>
      <c r="BH11" s="92">
        <v>186852</v>
      </c>
      <c r="BI11" s="92">
        <v>163615</v>
      </c>
      <c r="BJ11" s="92"/>
      <c r="BK11" s="92">
        <v>4976</v>
      </c>
      <c r="BL11" s="68">
        <f t="shared" si="0"/>
        <v>1126405.73</v>
      </c>
      <c r="BM11" s="68">
        <f t="shared" si="1"/>
        <v>1126129.6800000002</v>
      </c>
    </row>
    <row r="12" spans="1:65" s="7" customFormat="1" x14ac:dyDescent="0.25">
      <c r="A12" s="3" t="s">
        <v>303</v>
      </c>
      <c r="B12" s="10">
        <v>1</v>
      </c>
      <c r="C12" s="10">
        <v>2</v>
      </c>
      <c r="D12" s="10"/>
      <c r="E12" s="10"/>
      <c r="F12" s="10"/>
      <c r="G12" s="10"/>
      <c r="H12" s="10">
        <v>4873</v>
      </c>
      <c r="I12" s="10">
        <v>9574</v>
      </c>
      <c r="J12" s="10"/>
      <c r="K12" s="10"/>
      <c r="L12" s="10">
        <v>1290</v>
      </c>
      <c r="M12" s="10">
        <v>3272</v>
      </c>
      <c r="N12" s="10"/>
      <c r="O12" s="10"/>
      <c r="P12" s="10">
        <v>75.97</v>
      </c>
      <c r="Q12" s="10">
        <v>139.04</v>
      </c>
      <c r="R12" s="10">
        <v>2103.1999999999998</v>
      </c>
      <c r="S12" s="10">
        <v>7996.46</v>
      </c>
      <c r="T12" s="10">
        <v>1263</v>
      </c>
      <c r="U12" s="10">
        <v>1979</v>
      </c>
      <c r="V12" s="10">
        <v>7349</v>
      </c>
      <c r="W12" s="10">
        <v>11011</v>
      </c>
      <c r="X12" s="10">
        <v>10242</v>
      </c>
      <c r="Y12" s="10">
        <v>22849</v>
      </c>
      <c r="Z12" s="10">
        <v>2181</v>
      </c>
      <c r="AA12" s="10">
        <v>4332</v>
      </c>
      <c r="AB12" s="10">
        <v>166</v>
      </c>
      <c r="AC12" s="10">
        <v>-55</v>
      </c>
      <c r="AD12" s="10">
        <v>196.49</v>
      </c>
      <c r="AE12" s="10">
        <v>317.52</v>
      </c>
      <c r="AF12" s="10">
        <v>818.73</v>
      </c>
      <c r="AG12" s="10">
        <v>1066.97</v>
      </c>
      <c r="AH12" s="10"/>
      <c r="AI12" s="10"/>
      <c r="AJ12" s="10"/>
      <c r="AK12" s="10"/>
      <c r="AL12" s="10">
        <v>12451.08</v>
      </c>
      <c r="AM12" s="10">
        <v>46113.07</v>
      </c>
      <c r="AN12" s="10">
        <v>-11</v>
      </c>
      <c r="AO12" s="10">
        <v>43</v>
      </c>
      <c r="AP12" s="10">
        <v>171</v>
      </c>
      <c r="AQ12" s="10">
        <v>222</v>
      </c>
      <c r="AR12" s="10">
        <v>3159</v>
      </c>
      <c r="AS12" s="10">
        <v>6714</v>
      </c>
      <c r="AT12" s="10">
        <v>527.04999999999995</v>
      </c>
      <c r="AU12" s="10">
        <v>1155.25</v>
      </c>
      <c r="AV12" s="10">
        <v>6633</v>
      </c>
      <c r="AW12" s="10">
        <v>14435</v>
      </c>
      <c r="AX12" s="10">
        <v>365</v>
      </c>
      <c r="AY12" s="10">
        <v>452</v>
      </c>
      <c r="AZ12" s="10"/>
      <c r="BA12" s="10"/>
      <c r="BB12" s="10">
        <v>6262</v>
      </c>
      <c r="BC12" s="10">
        <v>13015</v>
      </c>
      <c r="BD12" s="10">
        <v>82650.2</v>
      </c>
      <c r="BE12" s="10">
        <v>113932.64</v>
      </c>
      <c r="BF12" s="10">
        <v>19698</v>
      </c>
      <c r="BG12" s="10">
        <v>23883</v>
      </c>
      <c r="BH12" s="10">
        <v>7895</v>
      </c>
      <c r="BI12" s="10">
        <v>40746</v>
      </c>
      <c r="BJ12" s="10">
        <v>435</v>
      </c>
      <c r="BK12" s="10">
        <v>1045</v>
      </c>
      <c r="BL12" s="63">
        <f t="shared" si="0"/>
        <v>170794.72</v>
      </c>
      <c r="BM12" s="63">
        <f t="shared" si="1"/>
        <v>324239.95</v>
      </c>
    </row>
    <row r="13" spans="1:65" x14ac:dyDescent="0.25">
      <c r="A13" s="13"/>
    </row>
    <row r="14" spans="1:65" x14ac:dyDescent="0.25">
      <c r="A14" s="27" t="s">
        <v>183</v>
      </c>
    </row>
    <row r="15" spans="1:65" x14ac:dyDescent="0.25">
      <c r="A15" s="3" t="s">
        <v>0</v>
      </c>
      <c r="B15" s="147" t="s">
        <v>1</v>
      </c>
      <c r="C15" s="148"/>
      <c r="D15" s="147" t="s">
        <v>233</v>
      </c>
      <c r="E15" s="148"/>
      <c r="F15" s="147" t="s">
        <v>2</v>
      </c>
      <c r="G15" s="148"/>
      <c r="H15" s="147" t="s">
        <v>3</v>
      </c>
      <c r="I15" s="148"/>
      <c r="J15" s="147" t="s">
        <v>242</v>
      </c>
      <c r="K15" s="148"/>
      <c r="L15" s="147" t="s">
        <v>234</v>
      </c>
      <c r="M15" s="148"/>
      <c r="N15" s="147" t="s">
        <v>5</v>
      </c>
      <c r="O15" s="148"/>
      <c r="P15" s="147" t="s">
        <v>4</v>
      </c>
      <c r="Q15" s="148"/>
      <c r="R15" s="147" t="s">
        <v>6</v>
      </c>
      <c r="S15" s="148"/>
      <c r="T15" s="147" t="s">
        <v>254</v>
      </c>
      <c r="U15" s="148"/>
      <c r="V15" s="147" t="s">
        <v>7</v>
      </c>
      <c r="W15" s="148"/>
      <c r="X15" s="147" t="s">
        <v>8</v>
      </c>
      <c r="Y15" s="148"/>
      <c r="Z15" s="147" t="s">
        <v>9</v>
      </c>
      <c r="AA15" s="148"/>
      <c r="AB15" s="147" t="s">
        <v>241</v>
      </c>
      <c r="AC15" s="148"/>
      <c r="AD15" s="147" t="s">
        <v>10</v>
      </c>
      <c r="AE15" s="148"/>
      <c r="AF15" s="147" t="s">
        <v>11</v>
      </c>
      <c r="AG15" s="148"/>
      <c r="AH15" s="147" t="s">
        <v>235</v>
      </c>
      <c r="AI15" s="148"/>
      <c r="AJ15" s="147" t="s">
        <v>253</v>
      </c>
      <c r="AK15" s="148"/>
      <c r="AL15" s="147" t="s">
        <v>12</v>
      </c>
      <c r="AM15" s="148"/>
      <c r="AN15" s="147" t="s">
        <v>236</v>
      </c>
      <c r="AO15" s="148"/>
      <c r="AP15" s="147" t="s">
        <v>237</v>
      </c>
      <c r="AQ15" s="148"/>
      <c r="AR15" s="147" t="s">
        <v>240</v>
      </c>
      <c r="AS15" s="148"/>
      <c r="AT15" s="147" t="s">
        <v>13</v>
      </c>
      <c r="AU15" s="148"/>
      <c r="AV15" s="147" t="s">
        <v>14</v>
      </c>
      <c r="AW15" s="148"/>
      <c r="AX15" s="147" t="s">
        <v>15</v>
      </c>
      <c r="AY15" s="148"/>
      <c r="AZ15" s="147" t="s">
        <v>16</v>
      </c>
      <c r="BA15" s="148"/>
      <c r="BB15" s="147" t="s">
        <v>17</v>
      </c>
      <c r="BC15" s="148"/>
      <c r="BD15" s="147" t="s">
        <v>238</v>
      </c>
      <c r="BE15" s="148"/>
      <c r="BF15" s="147" t="s">
        <v>239</v>
      </c>
      <c r="BG15" s="148"/>
      <c r="BH15" s="147" t="s">
        <v>18</v>
      </c>
      <c r="BI15" s="148"/>
      <c r="BJ15" s="147" t="s">
        <v>19</v>
      </c>
      <c r="BK15" s="148"/>
      <c r="BL15" s="149" t="s">
        <v>20</v>
      </c>
      <c r="BM15" s="150"/>
    </row>
    <row r="16" spans="1:65" ht="30" x14ac:dyDescent="0.25">
      <c r="A16" s="3"/>
      <c r="B16" s="53" t="s">
        <v>243</v>
      </c>
      <c r="C16" s="54" t="s">
        <v>244</v>
      </c>
      <c r="D16" s="53" t="s">
        <v>243</v>
      </c>
      <c r="E16" s="54" t="s">
        <v>244</v>
      </c>
      <c r="F16" s="53" t="s">
        <v>243</v>
      </c>
      <c r="G16" s="54" t="s">
        <v>244</v>
      </c>
      <c r="H16" s="53" t="s">
        <v>243</v>
      </c>
      <c r="I16" s="54" t="s">
        <v>244</v>
      </c>
      <c r="J16" s="53" t="s">
        <v>243</v>
      </c>
      <c r="K16" s="54" t="s">
        <v>244</v>
      </c>
      <c r="L16" s="53" t="s">
        <v>243</v>
      </c>
      <c r="M16" s="54" t="s">
        <v>244</v>
      </c>
      <c r="N16" s="53" t="s">
        <v>243</v>
      </c>
      <c r="O16" s="54" t="s">
        <v>244</v>
      </c>
      <c r="P16" s="53" t="s">
        <v>243</v>
      </c>
      <c r="Q16" s="54" t="s">
        <v>244</v>
      </c>
      <c r="R16" s="53" t="s">
        <v>243</v>
      </c>
      <c r="S16" s="54" t="s">
        <v>244</v>
      </c>
      <c r="T16" s="53" t="s">
        <v>243</v>
      </c>
      <c r="U16" s="54" t="s">
        <v>244</v>
      </c>
      <c r="V16" s="53" t="s">
        <v>243</v>
      </c>
      <c r="W16" s="54" t="s">
        <v>244</v>
      </c>
      <c r="X16" s="53" t="s">
        <v>243</v>
      </c>
      <c r="Y16" s="54" t="s">
        <v>244</v>
      </c>
      <c r="Z16" s="53" t="s">
        <v>243</v>
      </c>
      <c r="AA16" s="54" t="s">
        <v>244</v>
      </c>
      <c r="AB16" s="53" t="s">
        <v>243</v>
      </c>
      <c r="AC16" s="54" t="s">
        <v>244</v>
      </c>
      <c r="AD16" s="53" t="s">
        <v>243</v>
      </c>
      <c r="AE16" s="54" t="s">
        <v>244</v>
      </c>
      <c r="AF16" s="53" t="s">
        <v>243</v>
      </c>
      <c r="AG16" s="54" t="s">
        <v>244</v>
      </c>
      <c r="AH16" s="53" t="s">
        <v>243</v>
      </c>
      <c r="AI16" s="54" t="s">
        <v>244</v>
      </c>
      <c r="AJ16" s="53" t="s">
        <v>243</v>
      </c>
      <c r="AK16" s="54" t="s">
        <v>244</v>
      </c>
      <c r="AL16" s="53" t="s">
        <v>243</v>
      </c>
      <c r="AM16" s="54" t="s">
        <v>244</v>
      </c>
      <c r="AN16" s="53" t="s">
        <v>243</v>
      </c>
      <c r="AO16" s="54" t="s">
        <v>244</v>
      </c>
      <c r="AP16" s="53" t="s">
        <v>243</v>
      </c>
      <c r="AQ16" s="54" t="s">
        <v>244</v>
      </c>
      <c r="AR16" s="53" t="s">
        <v>243</v>
      </c>
      <c r="AS16" s="54" t="s">
        <v>244</v>
      </c>
      <c r="AT16" s="53" t="s">
        <v>243</v>
      </c>
      <c r="AU16" s="54" t="s">
        <v>244</v>
      </c>
      <c r="AV16" s="53" t="s">
        <v>243</v>
      </c>
      <c r="AW16" s="54" t="s">
        <v>244</v>
      </c>
      <c r="AX16" s="53" t="s">
        <v>243</v>
      </c>
      <c r="AY16" s="54" t="s">
        <v>244</v>
      </c>
      <c r="AZ16" s="53" t="s">
        <v>243</v>
      </c>
      <c r="BA16" s="54" t="s">
        <v>244</v>
      </c>
      <c r="BB16" s="53" t="s">
        <v>243</v>
      </c>
      <c r="BC16" s="54" t="s">
        <v>244</v>
      </c>
      <c r="BD16" s="53" t="s">
        <v>243</v>
      </c>
      <c r="BE16" s="54" t="s">
        <v>244</v>
      </c>
      <c r="BF16" s="53" t="s">
        <v>243</v>
      </c>
      <c r="BG16" s="54" t="s">
        <v>244</v>
      </c>
      <c r="BH16" s="53" t="s">
        <v>243</v>
      </c>
      <c r="BI16" s="54" t="s">
        <v>244</v>
      </c>
      <c r="BJ16" s="53" t="s">
        <v>243</v>
      </c>
      <c r="BK16" s="54" t="s">
        <v>244</v>
      </c>
      <c r="BL16" s="105" t="s">
        <v>243</v>
      </c>
      <c r="BM16" s="106" t="s">
        <v>244</v>
      </c>
    </row>
    <row r="17" spans="1:65" x14ac:dyDescent="0.25">
      <c r="A17" s="20" t="s">
        <v>297</v>
      </c>
      <c r="B17" s="76"/>
      <c r="C17" s="76"/>
      <c r="D17" s="76"/>
      <c r="E17" s="76"/>
      <c r="F17" s="76"/>
      <c r="G17" s="76"/>
      <c r="H17" s="92">
        <v>1942</v>
      </c>
      <c r="I17" s="92">
        <v>3184</v>
      </c>
      <c r="J17" s="76"/>
      <c r="K17" s="76"/>
      <c r="L17" s="92">
        <v>1079</v>
      </c>
      <c r="M17" s="92">
        <v>2065</v>
      </c>
      <c r="N17" s="76"/>
      <c r="O17" s="76"/>
      <c r="P17" s="92">
        <v>89.78</v>
      </c>
      <c r="Q17" s="92">
        <v>125.87</v>
      </c>
      <c r="R17" s="92">
        <v>1069.1199999999999</v>
      </c>
      <c r="S17" s="92">
        <v>2207.73</v>
      </c>
      <c r="T17" s="92">
        <v>9</v>
      </c>
      <c r="U17" s="92">
        <v>33</v>
      </c>
      <c r="V17" s="92">
        <v>4097</v>
      </c>
      <c r="W17" s="92">
        <v>6465</v>
      </c>
      <c r="X17" s="92">
        <v>8177</v>
      </c>
      <c r="Y17" s="92">
        <v>20872</v>
      </c>
      <c r="Z17" s="92">
        <v>3783</v>
      </c>
      <c r="AA17" s="92">
        <v>5902</v>
      </c>
      <c r="AB17" s="92">
        <v>4</v>
      </c>
      <c r="AC17" s="92">
        <v>4</v>
      </c>
      <c r="AD17" s="92">
        <v>789.43</v>
      </c>
      <c r="AE17" s="92">
        <v>1253.56</v>
      </c>
      <c r="AF17" s="92">
        <v>328.73</v>
      </c>
      <c r="AG17" s="92">
        <v>508.91</v>
      </c>
      <c r="AH17" s="76"/>
      <c r="AI17" s="76"/>
      <c r="AJ17" s="76"/>
      <c r="AK17" s="76"/>
      <c r="AL17" s="92">
        <v>2193.9699999999998</v>
      </c>
      <c r="AM17" s="92">
        <v>5948.41</v>
      </c>
      <c r="AN17" s="76"/>
      <c r="AO17" s="76"/>
      <c r="AP17" s="76"/>
      <c r="AQ17" s="76"/>
      <c r="AR17" s="76">
        <v>3392</v>
      </c>
      <c r="AS17" s="76">
        <v>4528</v>
      </c>
      <c r="AT17" s="92">
        <v>561.03</v>
      </c>
      <c r="AU17" s="92">
        <v>988.64</v>
      </c>
      <c r="AV17" s="92">
        <v>1206</v>
      </c>
      <c r="AW17" s="92">
        <v>1596</v>
      </c>
      <c r="AX17" s="92">
        <v>15</v>
      </c>
      <c r="AY17" s="92">
        <v>26</v>
      </c>
      <c r="AZ17" s="76"/>
      <c r="BA17" s="76"/>
      <c r="BB17" s="92">
        <v>6459</v>
      </c>
      <c r="BC17" s="92">
        <v>12457</v>
      </c>
      <c r="BD17" s="92">
        <v>6507.75</v>
      </c>
      <c r="BE17" s="92">
        <v>10593.12</v>
      </c>
      <c r="BF17" s="92">
        <v>5392</v>
      </c>
      <c r="BG17" s="92">
        <v>7446</v>
      </c>
      <c r="BH17" s="92">
        <v>4930</v>
      </c>
      <c r="BI17" s="92">
        <v>8509</v>
      </c>
      <c r="BJ17" s="92">
        <v>226</v>
      </c>
      <c r="BK17" s="92">
        <v>541</v>
      </c>
      <c r="BL17" s="68">
        <f t="shared" ref="BL17:BL23" si="2">SUM(B17+D17+F17+H17+J17+L17+N17+P17+R17+T17+V17+X17+Z17+AB17+AD17+AF17+AH17+AJ17+AL17+AN17+AP17+AR17+AT17+AV17+AX17+AZ17+BB17+BD17+BF17+BH17+BJ17)</f>
        <v>52250.81</v>
      </c>
      <c r="BM17" s="68">
        <f t="shared" ref="BM17:BM23" si="3">SUM(C17+E17+G17+I17+K17+M17+O17+Q17+S17+U17+W17+Y17+AA17+AC17+AE17+AG17+AI17+AK17+AM17+AO17+AQ17+AS17+AU17+AW17+AY17+BA17+BC17+BE17+BG17+BI17+BK17)</f>
        <v>95254.239999999991</v>
      </c>
    </row>
    <row r="18" spans="1:65" x14ac:dyDescent="0.25">
      <c r="A18" s="20" t="s">
        <v>298</v>
      </c>
      <c r="B18" s="76"/>
      <c r="C18" s="76"/>
      <c r="D18" s="76"/>
      <c r="E18" s="76"/>
      <c r="F18" s="76"/>
      <c r="G18" s="76"/>
      <c r="H18" s="92"/>
      <c r="I18" s="92"/>
      <c r="J18" s="76"/>
      <c r="K18" s="76"/>
      <c r="L18" s="92"/>
      <c r="M18" s="92"/>
      <c r="N18" s="76"/>
      <c r="O18" s="76"/>
      <c r="P18" s="92">
        <v>0.03</v>
      </c>
      <c r="Q18" s="92">
        <v>1.34</v>
      </c>
      <c r="R18" s="92">
        <v>9.1</v>
      </c>
      <c r="S18" s="92">
        <v>23.51</v>
      </c>
      <c r="T18" s="92"/>
      <c r="U18" s="92"/>
      <c r="V18" s="92">
        <v>89</v>
      </c>
      <c r="W18" s="92">
        <v>276</v>
      </c>
      <c r="X18" s="92">
        <v>179</v>
      </c>
      <c r="Y18" s="92">
        <v>311</v>
      </c>
      <c r="Z18" s="92">
        <v>9</v>
      </c>
      <c r="AA18" s="92">
        <v>10</v>
      </c>
      <c r="AB18" s="92"/>
      <c r="AC18" s="92"/>
      <c r="AD18" s="76"/>
      <c r="AE18" s="76"/>
      <c r="AF18" s="92">
        <v>131.85</v>
      </c>
      <c r="AG18" s="92">
        <v>192.93</v>
      </c>
      <c r="AH18" s="76"/>
      <c r="AI18" s="76"/>
      <c r="AJ18" s="76"/>
      <c r="AK18" s="76"/>
      <c r="AL18" s="92">
        <v>341.31</v>
      </c>
      <c r="AM18" s="92">
        <v>394.83</v>
      </c>
      <c r="AN18" s="76"/>
      <c r="AO18" s="76"/>
      <c r="AP18" s="76"/>
      <c r="AQ18" s="76"/>
      <c r="AR18" s="76"/>
      <c r="AS18" s="76"/>
      <c r="AT18" s="92">
        <v>0.47</v>
      </c>
      <c r="AU18" s="92">
        <v>0.54</v>
      </c>
      <c r="AV18" s="92">
        <v>50</v>
      </c>
      <c r="AW18" s="92">
        <v>50</v>
      </c>
      <c r="AX18" s="92"/>
      <c r="AY18" s="92"/>
      <c r="AZ18" s="76"/>
      <c r="BA18" s="76"/>
      <c r="BB18" s="92">
        <v>86</v>
      </c>
      <c r="BC18" s="92">
        <v>112</v>
      </c>
      <c r="BD18" s="92">
        <v>158.21</v>
      </c>
      <c r="BE18" s="92">
        <v>486.95</v>
      </c>
      <c r="BF18" s="92">
        <v>153</v>
      </c>
      <c r="BG18" s="92">
        <v>262</v>
      </c>
      <c r="BH18" s="92">
        <v>275</v>
      </c>
      <c r="BI18" s="92">
        <v>422</v>
      </c>
      <c r="BJ18" s="92"/>
      <c r="BK18" s="92"/>
      <c r="BL18" s="68">
        <f t="shared" si="2"/>
        <v>1481.97</v>
      </c>
      <c r="BM18" s="68">
        <f t="shared" si="3"/>
        <v>2543.1</v>
      </c>
    </row>
    <row r="19" spans="1:65" x14ac:dyDescent="0.25">
      <c r="A19" s="20" t="s">
        <v>299</v>
      </c>
      <c r="B19" s="76"/>
      <c r="C19" s="76"/>
      <c r="D19" s="76"/>
      <c r="E19" s="76"/>
      <c r="F19" s="76"/>
      <c r="G19" s="76"/>
      <c r="H19" s="92">
        <v>-391</v>
      </c>
      <c r="I19" s="92">
        <v>-644</v>
      </c>
      <c r="J19" s="76"/>
      <c r="K19" s="76"/>
      <c r="L19" s="92">
        <v>669</v>
      </c>
      <c r="M19" s="92">
        <v>1341</v>
      </c>
      <c r="N19" s="76"/>
      <c r="O19" s="76"/>
      <c r="P19" s="92">
        <v>78.459999999999994</v>
      </c>
      <c r="Q19" s="92">
        <v>108.05</v>
      </c>
      <c r="R19" s="92">
        <v>266.27999999999997</v>
      </c>
      <c r="S19" s="92">
        <v>358.19</v>
      </c>
      <c r="T19" s="92">
        <v>3</v>
      </c>
      <c r="U19" s="92">
        <v>4</v>
      </c>
      <c r="V19" s="92">
        <v>-2341</v>
      </c>
      <c r="W19" s="92">
        <v>-4054</v>
      </c>
      <c r="X19" s="92">
        <v>2613</v>
      </c>
      <c r="Y19" s="92">
        <v>10361</v>
      </c>
      <c r="Z19" s="92">
        <v>1523</v>
      </c>
      <c r="AA19" s="92">
        <v>2607</v>
      </c>
      <c r="AB19" s="92">
        <v>3</v>
      </c>
      <c r="AC19" s="92">
        <v>3</v>
      </c>
      <c r="AD19" s="92">
        <v>38.65</v>
      </c>
      <c r="AE19" s="92">
        <v>61.11</v>
      </c>
      <c r="AF19" s="92">
        <v>-376.71</v>
      </c>
      <c r="AG19" s="92">
        <v>-591.37</v>
      </c>
      <c r="AH19" s="76"/>
      <c r="AI19" s="76"/>
      <c r="AJ19" s="76"/>
      <c r="AK19" s="76"/>
      <c r="AL19" s="92">
        <v>435.76</v>
      </c>
      <c r="AM19" s="92">
        <v>2263.81</v>
      </c>
      <c r="AN19" s="76"/>
      <c r="AO19" s="76"/>
      <c r="AP19" s="76"/>
      <c r="AQ19" s="76"/>
      <c r="AR19" s="76">
        <v>3144</v>
      </c>
      <c r="AS19" s="76">
        <v>4107</v>
      </c>
      <c r="AT19" s="92">
        <v>-245.72</v>
      </c>
      <c r="AU19" s="92">
        <v>-459.89</v>
      </c>
      <c r="AV19" s="92">
        <v>161</v>
      </c>
      <c r="AW19" s="92">
        <v>181</v>
      </c>
      <c r="AX19" s="92">
        <v>8</v>
      </c>
      <c r="AY19" s="92">
        <v>10</v>
      </c>
      <c r="AZ19" s="76"/>
      <c r="BA19" s="76"/>
      <c r="BB19" s="92">
        <v>446</v>
      </c>
      <c r="BC19" s="92">
        <v>2009</v>
      </c>
      <c r="BD19" s="92">
        <v>903.05</v>
      </c>
      <c r="BE19" s="92">
        <v>5403.47</v>
      </c>
      <c r="BF19" s="92">
        <v>1335</v>
      </c>
      <c r="BG19" s="92">
        <v>1732</v>
      </c>
      <c r="BH19" s="92">
        <v>2074</v>
      </c>
      <c r="BI19" s="92">
        <v>3131</v>
      </c>
      <c r="BJ19" s="92">
        <v>143</v>
      </c>
      <c r="BK19" s="92">
        <v>397</v>
      </c>
      <c r="BL19" s="68">
        <f t="shared" si="2"/>
        <v>10489.77</v>
      </c>
      <c r="BM19" s="68">
        <f t="shared" si="3"/>
        <v>28328.370000000003</v>
      </c>
    </row>
    <row r="20" spans="1:65" s="7" customFormat="1" x14ac:dyDescent="0.25">
      <c r="A20" s="3" t="s">
        <v>300</v>
      </c>
      <c r="B20" s="10"/>
      <c r="C20" s="10"/>
      <c r="D20" s="10"/>
      <c r="E20" s="10"/>
      <c r="F20" s="10"/>
      <c r="G20" s="10"/>
      <c r="H20" s="10">
        <v>1551</v>
      </c>
      <c r="I20" s="10">
        <v>2540</v>
      </c>
      <c r="J20" s="10"/>
      <c r="K20" s="10"/>
      <c r="L20" s="10">
        <v>410</v>
      </c>
      <c r="M20" s="10">
        <v>724</v>
      </c>
      <c r="N20" s="10"/>
      <c r="O20" s="10"/>
      <c r="P20" s="10">
        <v>11.35</v>
      </c>
      <c r="Q20" s="10">
        <v>19.16</v>
      </c>
      <c r="R20" s="10">
        <v>811.94</v>
      </c>
      <c r="S20" s="10">
        <v>1873.05</v>
      </c>
      <c r="T20" s="10">
        <v>7</v>
      </c>
      <c r="U20" s="10">
        <v>29</v>
      </c>
      <c r="V20" s="10">
        <v>1844</v>
      </c>
      <c r="W20" s="10">
        <v>2687</v>
      </c>
      <c r="X20" s="10">
        <v>5743</v>
      </c>
      <c r="Y20" s="10">
        <v>10822</v>
      </c>
      <c r="Z20" s="10">
        <v>2269</v>
      </c>
      <c r="AA20" s="10">
        <v>3305</v>
      </c>
      <c r="AB20" s="10">
        <v>1</v>
      </c>
      <c r="AC20" s="10">
        <v>1</v>
      </c>
      <c r="AD20" s="10"/>
      <c r="AE20" s="10"/>
      <c r="AF20" s="10">
        <v>83.87</v>
      </c>
      <c r="AG20" s="10">
        <v>110.47</v>
      </c>
      <c r="AH20" s="10"/>
      <c r="AI20" s="10"/>
      <c r="AJ20" s="10"/>
      <c r="AK20" s="10"/>
      <c r="AL20" s="10">
        <v>2099.52</v>
      </c>
      <c r="AM20" s="10">
        <v>4079.43</v>
      </c>
      <c r="AN20" s="10"/>
      <c r="AO20" s="10"/>
      <c r="AP20" s="10"/>
      <c r="AQ20" s="10"/>
      <c r="AR20" s="10">
        <v>248</v>
      </c>
      <c r="AS20" s="10">
        <v>421</v>
      </c>
      <c r="AT20" s="10"/>
      <c r="AU20" s="10"/>
      <c r="AV20" s="10">
        <v>1095</v>
      </c>
      <c r="AW20" s="10">
        <v>1465</v>
      </c>
      <c r="AX20" s="10">
        <v>7</v>
      </c>
      <c r="AY20" s="10">
        <v>17</v>
      </c>
      <c r="AZ20" s="10"/>
      <c r="BA20" s="10"/>
      <c r="BB20" s="10">
        <v>6099</v>
      </c>
      <c r="BC20" s="10">
        <v>10560</v>
      </c>
      <c r="BD20" s="10"/>
      <c r="BE20" s="10"/>
      <c r="BF20" s="10">
        <v>4210</v>
      </c>
      <c r="BG20" s="10">
        <v>5976</v>
      </c>
      <c r="BH20" s="10">
        <v>3132</v>
      </c>
      <c r="BI20" s="10">
        <v>5800</v>
      </c>
      <c r="BJ20" s="10">
        <v>83</v>
      </c>
      <c r="BK20" s="10">
        <v>145</v>
      </c>
      <c r="BL20" s="63">
        <f t="shared" si="2"/>
        <v>29705.68</v>
      </c>
      <c r="BM20" s="63">
        <f t="shared" si="3"/>
        <v>50574.11</v>
      </c>
    </row>
    <row r="21" spans="1:65" x14ac:dyDescent="0.25">
      <c r="A21" s="20" t="s">
        <v>301</v>
      </c>
      <c r="B21" s="76"/>
      <c r="C21" s="76"/>
      <c r="D21" s="76"/>
      <c r="E21" s="76"/>
      <c r="F21" s="76"/>
      <c r="G21" s="76"/>
      <c r="H21" s="92">
        <v>8935</v>
      </c>
      <c r="I21" s="92">
        <v>8935</v>
      </c>
      <c r="J21" s="76"/>
      <c r="K21" s="76"/>
      <c r="L21" s="92">
        <v>414</v>
      </c>
      <c r="M21" s="92">
        <v>1690</v>
      </c>
      <c r="N21" s="76"/>
      <c r="O21" s="76"/>
      <c r="P21" s="92">
        <v>66.760000000000005</v>
      </c>
      <c r="Q21" s="92">
        <v>66.760000000000005</v>
      </c>
      <c r="R21" s="92">
        <v>3485.25</v>
      </c>
      <c r="S21" s="92">
        <v>3485.25</v>
      </c>
      <c r="T21" s="92">
        <v>89</v>
      </c>
      <c r="U21" s="92">
        <v>89</v>
      </c>
      <c r="V21" s="92">
        <v>6551</v>
      </c>
      <c r="W21" s="92">
        <v>6551</v>
      </c>
      <c r="X21" s="92">
        <v>25976</v>
      </c>
      <c r="Y21" s="92">
        <v>25976</v>
      </c>
      <c r="Z21" s="92">
        <v>1498</v>
      </c>
      <c r="AA21" s="92">
        <v>6104</v>
      </c>
      <c r="AB21" s="92">
        <v>3</v>
      </c>
      <c r="AC21" s="92">
        <v>3</v>
      </c>
      <c r="AD21" s="92">
        <v>1435.25</v>
      </c>
      <c r="AE21" s="92">
        <v>1435.25</v>
      </c>
      <c r="AF21" s="92">
        <v>547.01</v>
      </c>
      <c r="AG21" s="92">
        <v>547.01</v>
      </c>
      <c r="AH21" s="76"/>
      <c r="AI21" s="76"/>
      <c r="AJ21" s="76"/>
      <c r="AK21" s="76"/>
      <c r="AL21" s="92">
        <v>23202.27</v>
      </c>
      <c r="AM21" s="92">
        <v>23202.27</v>
      </c>
      <c r="AN21" s="76"/>
      <c r="AO21" s="76"/>
      <c r="AP21" s="92">
        <v>7</v>
      </c>
      <c r="AQ21" s="92">
        <v>7</v>
      </c>
      <c r="AR21" s="76">
        <v>3065</v>
      </c>
      <c r="AS21" s="76">
        <v>3065</v>
      </c>
      <c r="AT21" s="92">
        <v>171.04</v>
      </c>
      <c r="AU21" s="92">
        <v>3765.45</v>
      </c>
      <c r="AV21" s="92">
        <v>3564</v>
      </c>
      <c r="AW21" s="92">
        <v>3564</v>
      </c>
      <c r="AX21" s="92">
        <v>85</v>
      </c>
      <c r="AY21" s="92">
        <v>85</v>
      </c>
      <c r="AZ21" s="76"/>
      <c r="BA21" s="76"/>
      <c r="BB21" s="92">
        <v>27269</v>
      </c>
      <c r="BC21" s="92">
        <v>27269</v>
      </c>
      <c r="BD21" s="92">
        <v>119151.79</v>
      </c>
      <c r="BE21" s="92">
        <v>119151.79</v>
      </c>
      <c r="BF21" s="92">
        <v>1712</v>
      </c>
      <c r="BG21" s="92">
        <v>28403</v>
      </c>
      <c r="BH21" s="92">
        <v>33838</v>
      </c>
      <c r="BI21" s="92">
        <v>33838</v>
      </c>
      <c r="BJ21" s="92">
        <v>48</v>
      </c>
      <c r="BK21" s="92">
        <v>446</v>
      </c>
      <c r="BL21" s="68">
        <f t="shared" si="2"/>
        <v>261113.37</v>
      </c>
      <c r="BM21" s="68">
        <f t="shared" si="3"/>
        <v>297678.78000000003</v>
      </c>
    </row>
    <row r="22" spans="1:65" ht="15" customHeight="1" x14ac:dyDescent="0.25">
      <c r="A22" s="20" t="s">
        <v>302</v>
      </c>
      <c r="B22" s="76"/>
      <c r="C22" s="76"/>
      <c r="D22" s="76"/>
      <c r="E22" s="76"/>
      <c r="F22" s="76"/>
      <c r="G22" s="76"/>
      <c r="H22" s="92">
        <v>9044</v>
      </c>
      <c r="I22" s="92">
        <v>7596</v>
      </c>
      <c r="J22" s="76"/>
      <c r="K22" s="76"/>
      <c r="L22" s="92"/>
      <c r="M22" s="92">
        <v>1005</v>
      </c>
      <c r="N22" s="76"/>
      <c r="O22" s="76"/>
      <c r="P22" s="92">
        <v>61.27</v>
      </c>
      <c r="Q22" s="92">
        <v>37.950000000000003</v>
      </c>
      <c r="R22" s="92">
        <v>3405.63</v>
      </c>
      <c r="S22" s="92">
        <v>4044.61</v>
      </c>
      <c r="T22" s="92">
        <v>129</v>
      </c>
      <c r="U22" s="92">
        <v>66</v>
      </c>
      <c r="V22" s="92">
        <v>-5932</v>
      </c>
      <c r="W22" s="92">
        <v>-4172</v>
      </c>
      <c r="X22" s="92">
        <v>23919</v>
      </c>
      <c r="Y22" s="92">
        <v>17308</v>
      </c>
      <c r="Z22" s="92"/>
      <c r="AA22" s="92">
        <v>4127</v>
      </c>
      <c r="AB22" s="92">
        <v>1</v>
      </c>
      <c r="AC22" s="92">
        <v>0</v>
      </c>
      <c r="AD22" s="92">
        <v>1386.45</v>
      </c>
      <c r="AE22" s="92">
        <v>1127.42</v>
      </c>
      <c r="AF22" s="92">
        <v>-563.12</v>
      </c>
      <c r="AG22" s="92">
        <v>-629.24</v>
      </c>
      <c r="AH22" s="76"/>
      <c r="AI22" s="76"/>
      <c r="AJ22" s="76"/>
      <c r="AK22" s="76"/>
      <c r="AL22" s="92">
        <v>19071.88</v>
      </c>
      <c r="AM22" s="92">
        <v>20357.36</v>
      </c>
      <c r="AN22" s="76"/>
      <c r="AO22" s="76"/>
      <c r="AP22" s="92">
        <v>7</v>
      </c>
      <c r="AQ22" s="92">
        <v>7</v>
      </c>
      <c r="AR22" s="76">
        <v>2732</v>
      </c>
      <c r="AS22" s="76">
        <v>2546</v>
      </c>
      <c r="AT22" s="76"/>
      <c r="AU22" s="92">
        <v>-3573.91</v>
      </c>
      <c r="AV22" s="92">
        <v>3950</v>
      </c>
      <c r="AW22" s="92">
        <v>2856</v>
      </c>
      <c r="AX22" s="92">
        <v>83</v>
      </c>
      <c r="AY22" s="92">
        <v>87</v>
      </c>
      <c r="AZ22" s="76"/>
      <c r="BA22" s="76"/>
      <c r="BB22" s="92">
        <v>23245</v>
      </c>
      <c r="BC22" s="92">
        <v>20614</v>
      </c>
      <c r="BD22" s="92">
        <v>101917.87</v>
      </c>
      <c r="BE22" s="92">
        <v>93491.41</v>
      </c>
      <c r="BF22" s="92">
        <v>0</v>
      </c>
      <c r="BG22" s="92">
        <v>23951</v>
      </c>
      <c r="BH22" s="92">
        <v>29793</v>
      </c>
      <c r="BI22" s="92">
        <v>29088</v>
      </c>
      <c r="BJ22" s="92"/>
      <c r="BK22" s="92">
        <v>383</v>
      </c>
      <c r="BL22" s="68">
        <f t="shared" si="2"/>
        <v>212250.97999999998</v>
      </c>
      <c r="BM22" s="68">
        <f t="shared" si="3"/>
        <v>220317.6</v>
      </c>
    </row>
    <row r="23" spans="1:65" s="7" customFormat="1" x14ac:dyDescent="0.25">
      <c r="A23" s="3" t="s">
        <v>303</v>
      </c>
      <c r="B23" s="10"/>
      <c r="C23" s="10"/>
      <c r="D23" s="10"/>
      <c r="E23" s="10"/>
      <c r="F23" s="10"/>
      <c r="G23" s="10"/>
      <c r="H23" s="10">
        <v>1442</v>
      </c>
      <c r="I23" s="10">
        <v>3879</v>
      </c>
      <c r="J23" s="10"/>
      <c r="K23" s="10"/>
      <c r="L23" s="10">
        <v>824</v>
      </c>
      <c r="M23" s="10">
        <v>1409</v>
      </c>
      <c r="N23" s="10"/>
      <c r="O23" s="10"/>
      <c r="P23" s="10">
        <v>16.84</v>
      </c>
      <c r="Q23" s="10">
        <v>47.97</v>
      </c>
      <c r="R23" s="10">
        <v>891.56</v>
      </c>
      <c r="S23" s="10">
        <v>1313.69</v>
      </c>
      <c r="T23" s="10">
        <v>-33</v>
      </c>
      <c r="U23" s="10">
        <v>52</v>
      </c>
      <c r="V23" s="10">
        <v>2463</v>
      </c>
      <c r="W23" s="10">
        <v>5067</v>
      </c>
      <c r="X23" s="10">
        <v>7800</v>
      </c>
      <c r="Y23" s="10">
        <v>15363</v>
      </c>
      <c r="Z23" s="10">
        <v>3767</v>
      </c>
      <c r="AA23" s="10">
        <v>5283</v>
      </c>
      <c r="AB23" s="10">
        <v>3</v>
      </c>
      <c r="AC23" s="10">
        <v>3</v>
      </c>
      <c r="AD23" s="10">
        <v>798.2</v>
      </c>
      <c r="AE23" s="10">
        <v>1459.74</v>
      </c>
      <c r="AF23" s="10">
        <v>67.760000000000005</v>
      </c>
      <c r="AG23" s="10">
        <v>28.24</v>
      </c>
      <c r="AH23" s="10"/>
      <c r="AI23" s="10"/>
      <c r="AJ23" s="10"/>
      <c r="AK23" s="10"/>
      <c r="AL23" s="10">
        <v>6229.91</v>
      </c>
      <c r="AM23" s="10">
        <v>6924.34</v>
      </c>
      <c r="AN23" s="10"/>
      <c r="AO23" s="10"/>
      <c r="AP23" s="10">
        <v>0</v>
      </c>
      <c r="AQ23" s="10">
        <v>1</v>
      </c>
      <c r="AR23" s="10">
        <v>581</v>
      </c>
      <c r="AS23" s="10">
        <v>940</v>
      </c>
      <c r="AT23" s="10">
        <v>468.7</v>
      </c>
      <c r="AU23" s="10">
        <v>761.47</v>
      </c>
      <c r="AV23" s="10">
        <v>709</v>
      </c>
      <c r="AW23" s="10">
        <v>2173</v>
      </c>
      <c r="AX23" s="10">
        <v>10</v>
      </c>
      <c r="AY23" s="10">
        <v>15</v>
      </c>
      <c r="AZ23" s="10"/>
      <c r="BA23" s="10"/>
      <c r="BB23" s="10">
        <v>10123</v>
      </c>
      <c r="BC23" s="10">
        <v>17214</v>
      </c>
      <c r="BD23" s="10">
        <v>8952.77</v>
      </c>
      <c r="BE23" s="10">
        <v>15594.5</v>
      </c>
      <c r="BF23" s="10">
        <v>5922</v>
      </c>
      <c r="BG23" s="10">
        <v>10427</v>
      </c>
      <c r="BH23" s="10">
        <v>7177</v>
      </c>
      <c r="BI23" s="10">
        <v>10549</v>
      </c>
      <c r="BJ23" s="10">
        <v>132</v>
      </c>
      <c r="BK23" s="10">
        <v>208</v>
      </c>
      <c r="BL23" s="63">
        <f t="shared" si="2"/>
        <v>58345.740000000005</v>
      </c>
      <c r="BM23" s="63">
        <f t="shared" si="3"/>
        <v>98712.95</v>
      </c>
    </row>
    <row r="24" spans="1:65" x14ac:dyDescent="0.25">
      <c r="A24" s="13"/>
    </row>
    <row r="25" spans="1:65" x14ac:dyDescent="0.25">
      <c r="A25" s="27" t="s">
        <v>184</v>
      </c>
    </row>
    <row r="26" spans="1:65" x14ac:dyDescent="0.25">
      <c r="A26" s="3" t="s">
        <v>0</v>
      </c>
      <c r="B26" s="147" t="s">
        <v>1</v>
      </c>
      <c r="C26" s="148"/>
      <c r="D26" s="147" t="s">
        <v>233</v>
      </c>
      <c r="E26" s="148"/>
      <c r="F26" s="147" t="s">
        <v>2</v>
      </c>
      <c r="G26" s="148"/>
      <c r="H26" s="147" t="s">
        <v>3</v>
      </c>
      <c r="I26" s="148"/>
      <c r="J26" s="147" t="s">
        <v>242</v>
      </c>
      <c r="K26" s="148"/>
      <c r="L26" s="147" t="s">
        <v>234</v>
      </c>
      <c r="M26" s="148"/>
      <c r="N26" s="147" t="s">
        <v>5</v>
      </c>
      <c r="O26" s="148"/>
      <c r="P26" s="147" t="s">
        <v>4</v>
      </c>
      <c r="Q26" s="148"/>
      <c r="R26" s="147" t="s">
        <v>6</v>
      </c>
      <c r="S26" s="148"/>
      <c r="T26" s="147" t="s">
        <v>254</v>
      </c>
      <c r="U26" s="148"/>
      <c r="V26" s="147" t="s">
        <v>7</v>
      </c>
      <c r="W26" s="148"/>
      <c r="X26" s="147" t="s">
        <v>8</v>
      </c>
      <c r="Y26" s="148"/>
      <c r="Z26" s="147" t="s">
        <v>9</v>
      </c>
      <c r="AA26" s="148"/>
      <c r="AB26" s="147" t="s">
        <v>241</v>
      </c>
      <c r="AC26" s="148"/>
      <c r="AD26" s="147" t="s">
        <v>10</v>
      </c>
      <c r="AE26" s="148"/>
      <c r="AF26" s="147" t="s">
        <v>11</v>
      </c>
      <c r="AG26" s="148"/>
      <c r="AH26" s="147" t="s">
        <v>235</v>
      </c>
      <c r="AI26" s="148"/>
      <c r="AJ26" s="147" t="s">
        <v>253</v>
      </c>
      <c r="AK26" s="148"/>
      <c r="AL26" s="147" t="s">
        <v>12</v>
      </c>
      <c r="AM26" s="148"/>
      <c r="AN26" s="147" t="s">
        <v>236</v>
      </c>
      <c r="AO26" s="148"/>
      <c r="AP26" s="147" t="s">
        <v>237</v>
      </c>
      <c r="AQ26" s="148"/>
      <c r="AR26" s="147" t="s">
        <v>240</v>
      </c>
      <c r="AS26" s="148"/>
      <c r="AT26" s="147" t="s">
        <v>13</v>
      </c>
      <c r="AU26" s="148"/>
      <c r="AV26" s="147" t="s">
        <v>14</v>
      </c>
      <c r="AW26" s="148"/>
      <c r="AX26" s="147" t="s">
        <v>15</v>
      </c>
      <c r="AY26" s="148"/>
      <c r="AZ26" s="147" t="s">
        <v>16</v>
      </c>
      <c r="BA26" s="148"/>
      <c r="BB26" s="147" t="s">
        <v>17</v>
      </c>
      <c r="BC26" s="148"/>
      <c r="BD26" s="147" t="s">
        <v>238</v>
      </c>
      <c r="BE26" s="148"/>
      <c r="BF26" s="147" t="s">
        <v>239</v>
      </c>
      <c r="BG26" s="148"/>
      <c r="BH26" s="147" t="s">
        <v>18</v>
      </c>
      <c r="BI26" s="148"/>
      <c r="BJ26" s="147" t="s">
        <v>19</v>
      </c>
      <c r="BK26" s="148"/>
      <c r="BL26" s="149" t="s">
        <v>20</v>
      </c>
      <c r="BM26" s="150"/>
    </row>
    <row r="27" spans="1:65" ht="30" x14ac:dyDescent="0.25">
      <c r="A27" s="3"/>
      <c r="B27" s="53" t="s">
        <v>243</v>
      </c>
      <c r="C27" s="54" t="s">
        <v>244</v>
      </c>
      <c r="D27" s="53" t="s">
        <v>243</v>
      </c>
      <c r="E27" s="54" t="s">
        <v>244</v>
      </c>
      <c r="F27" s="53" t="s">
        <v>243</v>
      </c>
      <c r="G27" s="54" t="s">
        <v>244</v>
      </c>
      <c r="H27" s="53" t="s">
        <v>243</v>
      </c>
      <c r="I27" s="54" t="s">
        <v>244</v>
      </c>
      <c r="J27" s="53" t="s">
        <v>243</v>
      </c>
      <c r="K27" s="54" t="s">
        <v>244</v>
      </c>
      <c r="L27" s="53" t="s">
        <v>243</v>
      </c>
      <c r="M27" s="54" t="s">
        <v>244</v>
      </c>
      <c r="N27" s="53" t="s">
        <v>243</v>
      </c>
      <c r="O27" s="54" t="s">
        <v>244</v>
      </c>
      <c r="P27" s="53" t="s">
        <v>243</v>
      </c>
      <c r="Q27" s="54" t="s">
        <v>244</v>
      </c>
      <c r="R27" s="53" t="s">
        <v>243</v>
      </c>
      <c r="S27" s="54" t="s">
        <v>244</v>
      </c>
      <c r="T27" s="53" t="s">
        <v>243</v>
      </c>
      <c r="U27" s="54" t="s">
        <v>244</v>
      </c>
      <c r="V27" s="53" t="s">
        <v>243</v>
      </c>
      <c r="W27" s="54" t="s">
        <v>244</v>
      </c>
      <c r="X27" s="53" t="s">
        <v>243</v>
      </c>
      <c r="Y27" s="54" t="s">
        <v>244</v>
      </c>
      <c r="Z27" s="53" t="s">
        <v>243</v>
      </c>
      <c r="AA27" s="54" t="s">
        <v>244</v>
      </c>
      <c r="AB27" s="53" t="s">
        <v>243</v>
      </c>
      <c r="AC27" s="54" t="s">
        <v>244</v>
      </c>
      <c r="AD27" s="53" t="s">
        <v>243</v>
      </c>
      <c r="AE27" s="54" t="s">
        <v>244</v>
      </c>
      <c r="AF27" s="53" t="s">
        <v>243</v>
      </c>
      <c r="AG27" s="54" t="s">
        <v>244</v>
      </c>
      <c r="AH27" s="53" t="s">
        <v>243</v>
      </c>
      <c r="AI27" s="54" t="s">
        <v>244</v>
      </c>
      <c r="AJ27" s="53" t="s">
        <v>243</v>
      </c>
      <c r="AK27" s="54" t="s">
        <v>244</v>
      </c>
      <c r="AL27" s="53" t="s">
        <v>243</v>
      </c>
      <c r="AM27" s="54" t="s">
        <v>244</v>
      </c>
      <c r="AN27" s="53" t="s">
        <v>243</v>
      </c>
      <c r="AO27" s="54" t="s">
        <v>244</v>
      </c>
      <c r="AP27" s="53" t="s">
        <v>243</v>
      </c>
      <c r="AQ27" s="54" t="s">
        <v>244</v>
      </c>
      <c r="AR27" s="53" t="s">
        <v>243</v>
      </c>
      <c r="AS27" s="54" t="s">
        <v>244</v>
      </c>
      <c r="AT27" s="53" t="s">
        <v>243</v>
      </c>
      <c r="AU27" s="54" t="s">
        <v>244</v>
      </c>
      <c r="AV27" s="53" t="s">
        <v>243</v>
      </c>
      <c r="AW27" s="54" t="s">
        <v>244</v>
      </c>
      <c r="AX27" s="53" t="s">
        <v>243</v>
      </c>
      <c r="AY27" s="54" t="s">
        <v>244</v>
      </c>
      <c r="AZ27" s="53" t="s">
        <v>243</v>
      </c>
      <c r="BA27" s="54" t="s">
        <v>244</v>
      </c>
      <c r="BB27" s="53" t="s">
        <v>243</v>
      </c>
      <c r="BC27" s="54" t="s">
        <v>244</v>
      </c>
      <c r="BD27" s="53" t="s">
        <v>243</v>
      </c>
      <c r="BE27" s="54" t="s">
        <v>244</v>
      </c>
      <c r="BF27" s="53" t="s">
        <v>243</v>
      </c>
      <c r="BG27" s="54" t="s">
        <v>244</v>
      </c>
      <c r="BH27" s="53" t="s">
        <v>243</v>
      </c>
      <c r="BI27" s="54" t="s">
        <v>244</v>
      </c>
      <c r="BJ27" s="53" t="s">
        <v>243</v>
      </c>
      <c r="BK27" s="54" t="s">
        <v>244</v>
      </c>
      <c r="BL27" s="105" t="s">
        <v>243</v>
      </c>
      <c r="BM27" s="106" t="s">
        <v>244</v>
      </c>
    </row>
    <row r="28" spans="1:65" x14ac:dyDescent="0.25">
      <c r="A28" s="20" t="s">
        <v>297</v>
      </c>
      <c r="B28" s="92">
        <v>3447</v>
      </c>
      <c r="C28" s="92">
        <v>5076</v>
      </c>
      <c r="D28" s="76"/>
      <c r="E28" s="76"/>
      <c r="F28" s="76"/>
      <c r="G28" s="76"/>
      <c r="H28" s="92">
        <v>63946</v>
      </c>
      <c r="I28" s="92">
        <v>94858</v>
      </c>
      <c r="J28" s="76"/>
      <c r="K28" s="76"/>
      <c r="L28" s="92">
        <v>43086</v>
      </c>
      <c r="M28" s="92">
        <v>68022</v>
      </c>
      <c r="N28" s="76"/>
      <c r="O28" s="76"/>
      <c r="P28" s="92">
        <v>1829.82</v>
      </c>
      <c r="Q28" s="92">
        <v>2995.35</v>
      </c>
      <c r="R28" s="92">
        <v>24225.46</v>
      </c>
      <c r="S28" s="92">
        <v>35159.83</v>
      </c>
      <c r="T28" s="92">
        <v>15699</v>
      </c>
      <c r="U28" s="92">
        <v>-5817</v>
      </c>
      <c r="V28" s="92">
        <v>41415</v>
      </c>
      <c r="W28" s="92">
        <v>65285</v>
      </c>
      <c r="X28" s="92">
        <v>123117</v>
      </c>
      <c r="Y28" s="92">
        <v>195984</v>
      </c>
      <c r="Z28" s="92">
        <v>66631</v>
      </c>
      <c r="AA28" s="92">
        <v>100486</v>
      </c>
      <c r="AB28" s="92">
        <v>3584</v>
      </c>
      <c r="AC28" s="92">
        <v>5625</v>
      </c>
      <c r="AD28" s="76">
        <v>11841</v>
      </c>
      <c r="AE28" s="76">
        <v>18770</v>
      </c>
      <c r="AF28" s="92">
        <v>9641.84</v>
      </c>
      <c r="AG28" s="92">
        <v>12723.92</v>
      </c>
      <c r="AH28" s="76"/>
      <c r="AI28" s="76"/>
      <c r="AJ28" s="76"/>
      <c r="AK28" s="76"/>
      <c r="AL28" s="92">
        <v>97285.1</v>
      </c>
      <c r="AM28" s="92">
        <v>149088.31</v>
      </c>
      <c r="AN28" s="92">
        <v>564</v>
      </c>
      <c r="AO28" s="92">
        <v>845</v>
      </c>
      <c r="AP28" s="92">
        <v>3378</v>
      </c>
      <c r="AQ28" s="92">
        <v>5851</v>
      </c>
      <c r="AR28" s="76">
        <v>47971</v>
      </c>
      <c r="AS28" s="76">
        <v>70515</v>
      </c>
      <c r="AT28" s="92">
        <v>32939.699999999997</v>
      </c>
      <c r="AU28" s="92">
        <v>49613.35</v>
      </c>
      <c r="AV28" s="92">
        <v>27432</v>
      </c>
      <c r="AW28" s="92">
        <v>66812</v>
      </c>
      <c r="AX28" s="92">
        <v>25790</v>
      </c>
      <c r="AY28" s="92">
        <v>39513</v>
      </c>
      <c r="AZ28" s="76"/>
      <c r="BA28" s="76"/>
      <c r="BB28" s="92">
        <v>57169</v>
      </c>
      <c r="BC28" s="92">
        <v>83613</v>
      </c>
      <c r="BD28" s="92">
        <v>180243.85</v>
      </c>
      <c r="BE28" s="92">
        <v>281939.39</v>
      </c>
      <c r="BF28" s="92">
        <v>50360</v>
      </c>
      <c r="BG28" s="92">
        <v>94207</v>
      </c>
      <c r="BH28" s="92">
        <v>86213</v>
      </c>
      <c r="BI28" s="92">
        <v>138385</v>
      </c>
      <c r="BJ28" s="92">
        <v>13312</v>
      </c>
      <c r="BK28" s="92">
        <v>20766</v>
      </c>
      <c r="BL28" s="68">
        <f t="shared" ref="BL28:BL34" si="4">SUM(B28+D28+F28+H28+J28+L28+N28+P28+R28+T28+V28+X28+Z28+AB28+AD28+AF28+AH28+AJ28+AL28+AN28+AP28+AR28+AT28+AV28+AX28+AZ28+BB28+BD28+BF28+BH28+BJ28)</f>
        <v>1031120.77</v>
      </c>
      <c r="BM28" s="68">
        <f t="shared" ref="BM28:BM34" si="5">SUM(C28+E28+G28+I28+K28+M28+O28+Q28+S28+U28+W28+Y28+AA28+AC28+AE28+AG28+AI28+AK28+AM28+AO28+AQ28+AS28+AU28+AW28+AY28+BA28+BC28+BE28+BG28+BI28+BK28)</f>
        <v>1600316.15</v>
      </c>
    </row>
    <row r="29" spans="1:65" x14ac:dyDescent="0.25">
      <c r="A29" s="20" t="s">
        <v>298</v>
      </c>
      <c r="B29" s="92"/>
      <c r="C29" s="92"/>
      <c r="D29" s="76"/>
      <c r="E29" s="76"/>
      <c r="F29" s="76"/>
      <c r="G29" s="76"/>
      <c r="H29" s="92"/>
      <c r="I29" s="92"/>
      <c r="J29" s="76"/>
      <c r="K29" s="76"/>
      <c r="L29" s="92"/>
      <c r="M29" s="92"/>
      <c r="N29" s="76"/>
      <c r="O29" s="76"/>
      <c r="P29" s="92"/>
      <c r="Q29" s="92"/>
      <c r="R29" s="92"/>
      <c r="S29" s="92"/>
      <c r="T29" s="92">
        <v>1930</v>
      </c>
      <c r="U29" s="92">
        <v>25926</v>
      </c>
      <c r="V29" s="92"/>
      <c r="W29" s="92"/>
      <c r="X29" s="92"/>
      <c r="Y29" s="92"/>
      <c r="Z29" s="92"/>
      <c r="AA29" s="92"/>
      <c r="AB29" s="92"/>
      <c r="AC29" s="92"/>
      <c r="AD29" s="76"/>
      <c r="AE29" s="76"/>
      <c r="AF29" s="92"/>
      <c r="AG29" s="92"/>
      <c r="AH29" s="76"/>
      <c r="AI29" s="76"/>
      <c r="AJ29" s="76"/>
      <c r="AK29" s="76"/>
      <c r="AL29" s="92">
        <v>1</v>
      </c>
      <c r="AM29" s="92">
        <v>1.1100000000000001</v>
      </c>
      <c r="AN29" s="92"/>
      <c r="AO29" s="92"/>
      <c r="AP29" s="92"/>
      <c r="AQ29" s="92"/>
      <c r="AR29" s="76"/>
      <c r="AS29" s="76"/>
      <c r="AT29" s="76"/>
      <c r="AU29" s="76"/>
      <c r="AV29" s="92"/>
      <c r="AW29" s="92"/>
      <c r="AX29" s="92"/>
      <c r="AY29" s="92"/>
      <c r="AZ29" s="76"/>
      <c r="BA29" s="76"/>
      <c r="BB29" s="92">
        <v>54</v>
      </c>
      <c r="BC29" s="92">
        <v>54</v>
      </c>
      <c r="BD29" s="92">
        <v>203.42</v>
      </c>
      <c r="BE29" s="92">
        <v>451.84</v>
      </c>
      <c r="BF29" s="92">
        <v>11</v>
      </c>
      <c r="BG29" s="92">
        <v>14</v>
      </c>
      <c r="BH29" s="92">
        <v>0</v>
      </c>
      <c r="BI29" s="92">
        <v>0</v>
      </c>
      <c r="BJ29" s="92"/>
      <c r="BK29" s="92"/>
      <c r="BL29" s="68">
        <f t="shared" si="4"/>
        <v>2199.42</v>
      </c>
      <c r="BM29" s="68">
        <f t="shared" si="5"/>
        <v>26446.95</v>
      </c>
    </row>
    <row r="30" spans="1:65" x14ac:dyDescent="0.25">
      <c r="A30" s="20" t="s">
        <v>299</v>
      </c>
      <c r="B30" s="92">
        <v>2213</v>
      </c>
      <c r="C30" s="92">
        <v>3266</v>
      </c>
      <c r="D30" s="76"/>
      <c r="E30" s="76"/>
      <c r="F30" s="76"/>
      <c r="G30" s="76"/>
      <c r="H30" s="92">
        <v>-6809</v>
      </c>
      <c r="I30" s="92">
        <v>-10347</v>
      </c>
      <c r="J30" s="76"/>
      <c r="K30" s="76"/>
      <c r="L30" s="92">
        <v>8336</v>
      </c>
      <c r="M30" s="92">
        <v>13636</v>
      </c>
      <c r="N30" s="76"/>
      <c r="O30" s="76"/>
      <c r="P30" s="92">
        <v>91.5</v>
      </c>
      <c r="Q30" s="92">
        <v>149.77000000000001</v>
      </c>
      <c r="R30" s="92">
        <v>1385.64</v>
      </c>
      <c r="S30" s="92">
        <v>2455.29</v>
      </c>
      <c r="T30" s="92">
        <v>1022</v>
      </c>
      <c r="U30" s="92">
        <v>1598</v>
      </c>
      <c r="V30" s="92">
        <v>-2266</v>
      </c>
      <c r="W30" s="92">
        <v>-37358</v>
      </c>
      <c r="X30" s="92">
        <v>9445</v>
      </c>
      <c r="Y30" s="92">
        <v>15092</v>
      </c>
      <c r="Z30" s="92">
        <v>11781</v>
      </c>
      <c r="AA30" s="92">
        <v>19210</v>
      </c>
      <c r="AB30" s="92">
        <v>319</v>
      </c>
      <c r="AC30" s="92">
        <v>439</v>
      </c>
      <c r="AD30" s="76">
        <v>579</v>
      </c>
      <c r="AE30" s="76">
        <v>912</v>
      </c>
      <c r="AF30" s="92">
        <v>-4371.83</v>
      </c>
      <c r="AG30" s="92">
        <v>-6379.19</v>
      </c>
      <c r="AH30" s="76"/>
      <c r="AI30" s="76"/>
      <c r="AJ30" s="76"/>
      <c r="AK30" s="76"/>
      <c r="AL30" s="92">
        <v>10089.700000000001</v>
      </c>
      <c r="AM30" s="92">
        <v>15498.19</v>
      </c>
      <c r="AN30" s="92">
        <v>-28</v>
      </c>
      <c r="AO30" s="92">
        <v>-42</v>
      </c>
      <c r="AP30" s="92">
        <v>169</v>
      </c>
      <c r="AQ30" s="92">
        <v>293</v>
      </c>
      <c r="AR30" s="76">
        <v>11242</v>
      </c>
      <c r="AS30" s="76">
        <v>16466</v>
      </c>
      <c r="AT30" s="76">
        <v>-6237.4</v>
      </c>
      <c r="AU30" s="76">
        <v>-9671.2199999999993</v>
      </c>
      <c r="AV30" s="92">
        <v>9481</v>
      </c>
      <c r="AW30" s="92">
        <v>39797</v>
      </c>
      <c r="AX30" s="92">
        <v>1496</v>
      </c>
      <c r="AY30" s="92">
        <v>2313</v>
      </c>
      <c r="AZ30" s="76"/>
      <c r="BA30" s="76"/>
      <c r="BB30" s="92">
        <v>12589</v>
      </c>
      <c r="BC30" s="92">
        <v>19550</v>
      </c>
      <c r="BD30" s="92">
        <v>8747.59</v>
      </c>
      <c r="BE30" s="92">
        <v>13737.7</v>
      </c>
      <c r="BF30" s="92">
        <v>2942</v>
      </c>
      <c r="BG30" s="92">
        <v>5252</v>
      </c>
      <c r="BH30" s="92">
        <v>4972</v>
      </c>
      <c r="BI30" s="92">
        <v>7782</v>
      </c>
      <c r="BJ30" s="92">
        <v>8557</v>
      </c>
      <c r="BK30" s="92">
        <v>8928</v>
      </c>
      <c r="BL30" s="68">
        <f t="shared" si="4"/>
        <v>85745.2</v>
      </c>
      <c r="BM30" s="68">
        <f t="shared" si="5"/>
        <v>122577.54</v>
      </c>
    </row>
    <row r="31" spans="1:65" s="7" customFormat="1" x14ac:dyDescent="0.25">
      <c r="A31" s="3" t="s">
        <v>300</v>
      </c>
      <c r="B31" s="10">
        <v>1234</v>
      </c>
      <c r="C31" s="10">
        <v>1810</v>
      </c>
      <c r="D31" s="10"/>
      <c r="E31" s="10"/>
      <c r="F31" s="10"/>
      <c r="G31" s="10"/>
      <c r="H31" s="10">
        <v>57138</v>
      </c>
      <c r="I31" s="10">
        <v>84511</v>
      </c>
      <c r="J31" s="10"/>
      <c r="K31" s="10"/>
      <c r="L31" s="10">
        <v>34750</v>
      </c>
      <c r="M31" s="10">
        <v>54386</v>
      </c>
      <c r="N31" s="10"/>
      <c r="O31" s="10"/>
      <c r="P31" s="10">
        <v>1738.32</v>
      </c>
      <c r="Q31" s="10">
        <v>2845.58</v>
      </c>
      <c r="R31" s="10">
        <v>22839.81</v>
      </c>
      <c r="S31" s="10">
        <v>32704.55</v>
      </c>
      <c r="T31" s="10">
        <v>16607</v>
      </c>
      <c r="U31" s="10">
        <v>18512</v>
      </c>
      <c r="V31" s="10">
        <v>39149</v>
      </c>
      <c r="W31" s="10">
        <v>27927</v>
      </c>
      <c r="X31" s="10">
        <v>113672</v>
      </c>
      <c r="Y31" s="10">
        <v>180892</v>
      </c>
      <c r="Z31" s="10">
        <v>54851</v>
      </c>
      <c r="AA31" s="10">
        <v>81275</v>
      </c>
      <c r="AB31" s="10">
        <v>3264</v>
      </c>
      <c r="AC31" s="10">
        <v>5186</v>
      </c>
      <c r="AD31" s="10"/>
      <c r="AE31" s="10"/>
      <c r="AF31" s="10">
        <v>5270.01</v>
      </c>
      <c r="AG31" s="10">
        <v>6344.73</v>
      </c>
      <c r="AH31" s="10"/>
      <c r="AI31" s="10"/>
      <c r="AJ31" s="10"/>
      <c r="AK31" s="10"/>
      <c r="AL31" s="10">
        <v>87196.4</v>
      </c>
      <c r="AM31" s="10">
        <v>133591.22</v>
      </c>
      <c r="AN31" s="10">
        <v>536</v>
      </c>
      <c r="AO31" s="10">
        <v>802</v>
      </c>
      <c r="AP31" s="10">
        <v>3209</v>
      </c>
      <c r="AQ31" s="10">
        <v>5558</v>
      </c>
      <c r="AR31" s="10">
        <v>36729</v>
      </c>
      <c r="AS31" s="10">
        <v>54050</v>
      </c>
      <c r="AT31" s="10"/>
      <c r="AU31" s="10"/>
      <c r="AV31" s="10">
        <v>17951</v>
      </c>
      <c r="AW31" s="10">
        <v>27015</v>
      </c>
      <c r="AX31" s="10">
        <v>24293</v>
      </c>
      <c r="AY31" s="10">
        <v>37201</v>
      </c>
      <c r="AZ31" s="10"/>
      <c r="BA31" s="10"/>
      <c r="BB31" s="10">
        <v>44634</v>
      </c>
      <c r="BC31" s="10">
        <v>64117</v>
      </c>
      <c r="BD31" s="10"/>
      <c r="BE31" s="10"/>
      <c r="BF31" s="10">
        <v>47430</v>
      </c>
      <c r="BG31" s="10">
        <v>88969</v>
      </c>
      <c r="BH31" s="10">
        <v>81241</v>
      </c>
      <c r="BI31" s="10">
        <v>130603</v>
      </c>
      <c r="BJ31" s="10">
        <v>4754</v>
      </c>
      <c r="BK31" s="10">
        <v>11838</v>
      </c>
      <c r="BL31" s="63">
        <f t="shared" si="4"/>
        <v>698486.54</v>
      </c>
      <c r="BM31" s="63">
        <f t="shared" si="5"/>
        <v>1050138.08</v>
      </c>
    </row>
    <row r="32" spans="1:65" x14ac:dyDescent="0.25">
      <c r="A32" s="20" t="s">
        <v>301</v>
      </c>
      <c r="B32" s="92">
        <v>12717</v>
      </c>
      <c r="C32" s="92">
        <v>12717</v>
      </c>
      <c r="D32" s="76"/>
      <c r="E32" s="76"/>
      <c r="F32" s="76"/>
      <c r="G32" s="76"/>
      <c r="H32" s="92">
        <v>943812</v>
      </c>
      <c r="I32" s="92">
        <v>943812</v>
      </c>
      <c r="J32" s="76"/>
      <c r="K32" s="76"/>
      <c r="L32" s="92">
        <v>7591</v>
      </c>
      <c r="M32" s="92">
        <v>653541</v>
      </c>
      <c r="N32" s="76"/>
      <c r="O32" s="76"/>
      <c r="P32" s="92">
        <v>9801.2999999999993</v>
      </c>
      <c r="Q32" s="92">
        <v>9801.2999999999993</v>
      </c>
      <c r="R32" s="92">
        <v>221597.48</v>
      </c>
      <c r="S32" s="92">
        <v>221597.48</v>
      </c>
      <c r="T32" s="92">
        <v>284000</v>
      </c>
      <c r="U32" s="92">
        <v>284000</v>
      </c>
      <c r="V32" s="92">
        <v>490840</v>
      </c>
      <c r="W32" s="92">
        <v>490840</v>
      </c>
      <c r="X32" s="92">
        <v>1458066</v>
      </c>
      <c r="Y32" s="92">
        <v>1458066</v>
      </c>
      <c r="Z32" s="92">
        <v>17695</v>
      </c>
      <c r="AA32" s="92">
        <v>614520</v>
      </c>
      <c r="AB32" s="92">
        <v>37434</v>
      </c>
      <c r="AC32" s="92">
        <v>37434</v>
      </c>
      <c r="AD32" s="76">
        <v>116427</v>
      </c>
      <c r="AE32" s="76">
        <v>116427</v>
      </c>
      <c r="AF32" s="92">
        <v>176129.8</v>
      </c>
      <c r="AG32" s="92">
        <v>176129.8</v>
      </c>
      <c r="AH32" s="76"/>
      <c r="AI32" s="76"/>
      <c r="AJ32" s="76"/>
      <c r="AK32" s="76"/>
      <c r="AL32" s="92">
        <v>1568244</v>
      </c>
      <c r="AM32" s="92">
        <v>1568244.8</v>
      </c>
      <c r="AN32" s="92">
        <v>10077</v>
      </c>
      <c r="AO32" s="92">
        <v>10077</v>
      </c>
      <c r="AP32" s="92">
        <v>29669</v>
      </c>
      <c r="AQ32" s="92">
        <v>29669</v>
      </c>
      <c r="AR32" s="76">
        <v>575987</v>
      </c>
      <c r="AS32" s="92">
        <v>575987</v>
      </c>
      <c r="AT32" s="92">
        <v>12036.86</v>
      </c>
      <c r="AU32" s="92">
        <v>440503.67</v>
      </c>
      <c r="AV32" s="92">
        <v>229069</v>
      </c>
      <c r="AW32" s="92">
        <v>229069</v>
      </c>
      <c r="AX32" s="92">
        <v>759340</v>
      </c>
      <c r="AY32" s="92">
        <v>759340</v>
      </c>
      <c r="AZ32" s="76"/>
      <c r="BA32" s="76"/>
      <c r="BB32" s="92">
        <v>662013</v>
      </c>
      <c r="BC32" s="92">
        <v>662013</v>
      </c>
      <c r="BD32" s="92">
        <v>2342513.19</v>
      </c>
      <c r="BE32" s="92">
        <v>2342513.19</v>
      </c>
      <c r="BF32" s="92">
        <v>83786</v>
      </c>
      <c r="BG32" s="92">
        <v>1227828</v>
      </c>
      <c r="BH32" s="92">
        <v>1885545</v>
      </c>
      <c r="BI32" s="92">
        <v>1885545</v>
      </c>
      <c r="BJ32" s="92">
        <v>-482</v>
      </c>
      <c r="BK32" s="92">
        <v>131322</v>
      </c>
      <c r="BL32" s="68">
        <f t="shared" si="4"/>
        <v>11933908.630000001</v>
      </c>
      <c r="BM32" s="68">
        <f t="shared" si="5"/>
        <v>14880997.24</v>
      </c>
    </row>
    <row r="33" spans="1:65" ht="15" customHeight="1" x14ac:dyDescent="0.25">
      <c r="A33" s="20" t="s">
        <v>302</v>
      </c>
      <c r="B33" s="92">
        <v>11187</v>
      </c>
      <c r="C33" s="92">
        <v>9832</v>
      </c>
      <c r="D33" s="76"/>
      <c r="E33" s="76"/>
      <c r="F33" s="76"/>
      <c r="G33" s="76"/>
      <c r="H33" s="92">
        <v>921348</v>
      </c>
      <c r="I33" s="92">
        <v>872027</v>
      </c>
      <c r="J33" s="76"/>
      <c r="K33" s="76"/>
      <c r="L33" s="92">
        <v>1</v>
      </c>
      <c r="M33" s="92">
        <v>626308</v>
      </c>
      <c r="N33" s="76"/>
      <c r="O33" s="76"/>
      <c r="P33" s="92">
        <v>8540.85</v>
      </c>
      <c r="Q33" s="92">
        <v>7584.63</v>
      </c>
      <c r="R33" s="92">
        <v>222241.54</v>
      </c>
      <c r="S33" s="92">
        <v>214189.24</v>
      </c>
      <c r="T33" s="92">
        <v>247479</v>
      </c>
      <c r="U33" s="92">
        <v>204441</v>
      </c>
      <c r="V33" s="92">
        <v>-477033</v>
      </c>
      <c r="W33" s="92">
        <v>-432530</v>
      </c>
      <c r="X33" s="92">
        <v>1435159</v>
      </c>
      <c r="Y33" s="92">
        <v>1131942</v>
      </c>
      <c r="Z33" s="92"/>
      <c r="AA33" s="92">
        <v>560905</v>
      </c>
      <c r="AB33" s="92">
        <v>35072</v>
      </c>
      <c r="AC33" s="92">
        <v>31847</v>
      </c>
      <c r="AD33" s="76">
        <v>113262</v>
      </c>
      <c r="AE33" s="76">
        <v>107882</v>
      </c>
      <c r="AF33" s="92">
        <v>-168376.9</v>
      </c>
      <c r="AG33" s="92">
        <v>-155856.06</v>
      </c>
      <c r="AH33" s="76"/>
      <c r="AI33" s="76"/>
      <c r="AJ33" s="76"/>
      <c r="AK33" s="76"/>
      <c r="AL33" s="92">
        <v>1552641</v>
      </c>
      <c r="AM33" s="92">
        <v>1518803</v>
      </c>
      <c r="AN33" s="92">
        <v>-9577</v>
      </c>
      <c r="AO33" s="92">
        <v>-9117</v>
      </c>
      <c r="AP33" s="92">
        <v>27881</v>
      </c>
      <c r="AQ33" s="92">
        <v>25647</v>
      </c>
      <c r="AR33" s="76">
        <v>560742</v>
      </c>
      <c r="AS33" s="76">
        <v>538373</v>
      </c>
      <c r="AT33" s="76"/>
      <c r="AU33" s="92">
        <v>-403183.73</v>
      </c>
      <c r="AV33" s="92">
        <v>215771</v>
      </c>
      <c r="AW33" s="92">
        <v>200276</v>
      </c>
      <c r="AX33" s="92">
        <v>749713</v>
      </c>
      <c r="AY33" s="92">
        <v>722966</v>
      </c>
      <c r="AZ33" s="76"/>
      <c r="BA33" s="76"/>
      <c r="BB33" s="92">
        <v>623418</v>
      </c>
      <c r="BC33" s="92">
        <v>572329</v>
      </c>
      <c r="BD33" s="92">
        <v>2291058.06</v>
      </c>
      <c r="BE33" s="92">
        <v>2200030.04</v>
      </c>
      <c r="BF33" s="92">
        <v>55543</v>
      </c>
      <c r="BG33" s="92">
        <v>1158080</v>
      </c>
      <c r="BH33" s="92">
        <v>1845937</v>
      </c>
      <c r="BI33" s="92">
        <v>1815180</v>
      </c>
      <c r="BJ33" s="92"/>
      <c r="BK33" s="92">
        <v>126954</v>
      </c>
      <c r="BL33" s="68">
        <f t="shared" si="4"/>
        <v>10262007.550000001</v>
      </c>
      <c r="BM33" s="68">
        <f t="shared" si="5"/>
        <v>11644909.120000001</v>
      </c>
    </row>
    <row r="34" spans="1:65" s="7" customFormat="1" x14ac:dyDescent="0.25">
      <c r="A34" s="3" t="s">
        <v>303</v>
      </c>
      <c r="B34" s="10">
        <v>2764</v>
      </c>
      <c r="C34" s="10">
        <v>4695</v>
      </c>
      <c r="D34" s="10"/>
      <c r="E34" s="10"/>
      <c r="F34" s="10"/>
      <c r="G34" s="10"/>
      <c r="H34" s="10">
        <v>79602</v>
      </c>
      <c r="I34" s="10">
        <v>156296</v>
      </c>
      <c r="J34" s="10"/>
      <c r="K34" s="10"/>
      <c r="L34" s="10">
        <v>42340</v>
      </c>
      <c r="M34" s="10">
        <v>81620</v>
      </c>
      <c r="N34" s="10"/>
      <c r="O34" s="10"/>
      <c r="P34" s="10">
        <v>2998.77</v>
      </c>
      <c r="Q34" s="10">
        <v>5062.25</v>
      </c>
      <c r="R34" s="10">
        <v>22195.759999999998</v>
      </c>
      <c r="S34" s="10">
        <v>40112.79</v>
      </c>
      <c r="T34" s="10">
        <v>53127</v>
      </c>
      <c r="U34" s="10">
        <v>98071</v>
      </c>
      <c r="V34" s="10">
        <v>52956</v>
      </c>
      <c r="W34" s="10">
        <v>86237</v>
      </c>
      <c r="X34" s="10">
        <v>136579</v>
      </c>
      <c r="Y34" s="10">
        <v>272359</v>
      </c>
      <c r="Z34" s="10">
        <v>72546</v>
      </c>
      <c r="AA34" s="10">
        <v>134891</v>
      </c>
      <c r="AB34" s="10">
        <v>5626</v>
      </c>
      <c r="AC34" s="10">
        <v>10773</v>
      </c>
      <c r="AD34" s="10">
        <v>14367</v>
      </c>
      <c r="AE34" s="10">
        <v>26076</v>
      </c>
      <c r="AF34" s="10">
        <v>13022.91</v>
      </c>
      <c r="AG34" s="10">
        <v>26618.47</v>
      </c>
      <c r="AH34" s="10"/>
      <c r="AI34" s="10"/>
      <c r="AJ34" s="10"/>
      <c r="AK34" s="10"/>
      <c r="AL34" s="10">
        <v>102800.06</v>
      </c>
      <c r="AM34" s="10">
        <v>183033.02</v>
      </c>
      <c r="AN34" s="10">
        <v>1036</v>
      </c>
      <c r="AO34" s="10">
        <v>1763</v>
      </c>
      <c r="AP34" s="10">
        <v>4997</v>
      </c>
      <c r="AQ34" s="10">
        <v>9580</v>
      </c>
      <c r="AR34" s="10">
        <v>51975</v>
      </c>
      <c r="AS34" s="10">
        <v>91664</v>
      </c>
      <c r="AT34" s="10">
        <v>38255.800000000003</v>
      </c>
      <c r="AU34" s="10">
        <v>74342.09</v>
      </c>
      <c r="AV34" s="10">
        <v>31249</v>
      </c>
      <c r="AW34" s="10">
        <v>55808</v>
      </c>
      <c r="AX34" s="10">
        <v>33920</v>
      </c>
      <c r="AY34" s="10">
        <v>73574</v>
      </c>
      <c r="AZ34" s="10"/>
      <c r="BA34" s="10"/>
      <c r="BB34" s="10">
        <v>83228</v>
      </c>
      <c r="BC34" s="10">
        <v>153800</v>
      </c>
      <c r="BD34" s="10">
        <v>219027.32</v>
      </c>
      <c r="BE34" s="10">
        <v>403873.06</v>
      </c>
      <c r="BF34" s="10">
        <v>75673</v>
      </c>
      <c r="BG34" s="10">
        <v>158717</v>
      </c>
      <c r="BH34" s="10">
        <v>120849</v>
      </c>
      <c r="BI34" s="10">
        <v>200967</v>
      </c>
      <c r="BJ34" s="10">
        <v>4272</v>
      </c>
      <c r="BK34" s="10">
        <v>16205</v>
      </c>
      <c r="BL34" s="63">
        <f t="shared" si="4"/>
        <v>1265406.6200000001</v>
      </c>
      <c r="BM34" s="63">
        <f t="shared" si="5"/>
        <v>2366137.6800000002</v>
      </c>
    </row>
    <row r="35" spans="1:65" x14ac:dyDescent="0.25">
      <c r="A35" s="13"/>
    </row>
    <row r="36" spans="1:65" x14ac:dyDescent="0.25">
      <c r="A36" s="27" t="s">
        <v>185</v>
      </c>
    </row>
    <row r="37" spans="1:65" x14ac:dyDescent="0.25">
      <c r="A37" s="3" t="s">
        <v>0</v>
      </c>
      <c r="B37" s="147" t="s">
        <v>1</v>
      </c>
      <c r="C37" s="148"/>
      <c r="D37" s="147" t="s">
        <v>233</v>
      </c>
      <c r="E37" s="148"/>
      <c r="F37" s="147" t="s">
        <v>2</v>
      </c>
      <c r="G37" s="148"/>
      <c r="H37" s="147" t="s">
        <v>3</v>
      </c>
      <c r="I37" s="148"/>
      <c r="J37" s="147" t="s">
        <v>242</v>
      </c>
      <c r="K37" s="148"/>
      <c r="L37" s="147" t="s">
        <v>234</v>
      </c>
      <c r="M37" s="148"/>
      <c r="N37" s="147" t="s">
        <v>5</v>
      </c>
      <c r="O37" s="148"/>
      <c r="P37" s="147" t="s">
        <v>4</v>
      </c>
      <c r="Q37" s="148"/>
      <c r="R37" s="147" t="s">
        <v>6</v>
      </c>
      <c r="S37" s="148"/>
      <c r="T37" s="147" t="s">
        <v>254</v>
      </c>
      <c r="U37" s="148"/>
      <c r="V37" s="147" t="s">
        <v>7</v>
      </c>
      <c r="W37" s="148"/>
      <c r="X37" s="147" t="s">
        <v>8</v>
      </c>
      <c r="Y37" s="148"/>
      <c r="Z37" s="147" t="s">
        <v>9</v>
      </c>
      <c r="AA37" s="148"/>
      <c r="AB37" s="147" t="s">
        <v>241</v>
      </c>
      <c r="AC37" s="148"/>
      <c r="AD37" s="147" t="s">
        <v>10</v>
      </c>
      <c r="AE37" s="148"/>
      <c r="AF37" s="147" t="s">
        <v>11</v>
      </c>
      <c r="AG37" s="148"/>
      <c r="AH37" s="147" t="s">
        <v>235</v>
      </c>
      <c r="AI37" s="148"/>
      <c r="AJ37" s="147" t="s">
        <v>253</v>
      </c>
      <c r="AK37" s="148"/>
      <c r="AL37" s="147" t="s">
        <v>12</v>
      </c>
      <c r="AM37" s="148"/>
      <c r="AN37" s="147" t="s">
        <v>236</v>
      </c>
      <c r="AO37" s="148"/>
      <c r="AP37" s="147" t="s">
        <v>237</v>
      </c>
      <c r="AQ37" s="148"/>
      <c r="AR37" s="147" t="s">
        <v>240</v>
      </c>
      <c r="AS37" s="148"/>
      <c r="AT37" s="147" t="s">
        <v>13</v>
      </c>
      <c r="AU37" s="148"/>
      <c r="AV37" s="147" t="s">
        <v>14</v>
      </c>
      <c r="AW37" s="148"/>
      <c r="AX37" s="147" t="s">
        <v>15</v>
      </c>
      <c r="AY37" s="148"/>
      <c r="AZ37" s="147" t="s">
        <v>16</v>
      </c>
      <c r="BA37" s="148"/>
      <c r="BB37" s="147" t="s">
        <v>17</v>
      </c>
      <c r="BC37" s="148"/>
      <c r="BD37" s="147" t="s">
        <v>238</v>
      </c>
      <c r="BE37" s="148"/>
      <c r="BF37" s="147" t="s">
        <v>239</v>
      </c>
      <c r="BG37" s="148"/>
      <c r="BH37" s="147" t="s">
        <v>18</v>
      </c>
      <c r="BI37" s="148"/>
      <c r="BJ37" s="147" t="s">
        <v>19</v>
      </c>
      <c r="BK37" s="148"/>
      <c r="BL37" s="149" t="s">
        <v>20</v>
      </c>
      <c r="BM37" s="150"/>
    </row>
    <row r="38" spans="1:65" ht="30" x14ac:dyDescent="0.25">
      <c r="A38" s="3"/>
      <c r="B38" s="53" t="s">
        <v>243</v>
      </c>
      <c r="C38" s="54" t="s">
        <v>244</v>
      </c>
      <c r="D38" s="53" t="s">
        <v>243</v>
      </c>
      <c r="E38" s="54" t="s">
        <v>244</v>
      </c>
      <c r="F38" s="53" t="s">
        <v>243</v>
      </c>
      <c r="G38" s="54" t="s">
        <v>244</v>
      </c>
      <c r="H38" s="53" t="s">
        <v>243</v>
      </c>
      <c r="I38" s="54" t="s">
        <v>244</v>
      </c>
      <c r="J38" s="53" t="s">
        <v>243</v>
      </c>
      <c r="K38" s="54" t="s">
        <v>244</v>
      </c>
      <c r="L38" s="53" t="s">
        <v>243</v>
      </c>
      <c r="M38" s="54" t="s">
        <v>244</v>
      </c>
      <c r="N38" s="53" t="s">
        <v>243</v>
      </c>
      <c r="O38" s="54" t="s">
        <v>244</v>
      </c>
      <c r="P38" s="53" t="s">
        <v>243</v>
      </c>
      <c r="Q38" s="54" t="s">
        <v>244</v>
      </c>
      <c r="R38" s="53" t="s">
        <v>243</v>
      </c>
      <c r="S38" s="54" t="s">
        <v>244</v>
      </c>
      <c r="T38" s="53" t="s">
        <v>243</v>
      </c>
      <c r="U38" s="54" t="s">
        <v>244</v>
      </c>
      <c r="V38" s="53" t="s">
        <v>243</v>
      </c>
      <c r="W38" s="54" t="s">
        <v>244</v>
      </c>
      <c r="X38" s="53" t="s">
        <v>243</v>
      </c>
      <c r="Y38" s="54" t="s">
        <v>244</v>
      </c>
      <c r="Z38" s="53" t="s">
        <v>243</v>
      </c>
      <c r="AA38" s="54" t="s">
        <v>244</v>
      </c>
      <c r="AB38" s="53" t="s">
        <v>243</v>
      </c>
      <c r="AC38" s="54" t="s">
        <v>244</v>
      </c>
      <c r="AD38" s="53" t="s">
        <v>243</v>
      </c>
      <c r="AE38" s="54" t="s">
        <v>244</v>
      </c>
      <c r="AF38" s="53" t="s">
        <v>243</v>
      </c>
      <c r="AG38" s="54" t="s">
        <v>244</v>
      </c>
      <c r="AH38" s="53" t="s">
        <v>243</v>
      </c>
      <c r="AI38" s="54" t="s">
        <v>244</v>
      </c>
      <c r="AJ38" s="53" t="s">
        <v>243</v>
      </c>
      <c r="AK38" s="54" t="s">
        <v>244</v>
      </c>
      <c r="AL38" s="53" t="s">
        <v>243</v>
      </c>
      <c r="AM38" s="54" t="s">
        <v>244</v>
      </c>
      <c r="AN38" s="53" t="s">
        <v>243</v>
      </c>
      <c r="AO38" s="54" t="s">
        <v>244</v>
      </c>
      <c r="AP38" s="53" t="s">
        <v>243</v>
      </c>
      <c r="AQ38" s="54" t="s">
        <v>244</v>
      </c>
      <c r="AR38" s="53" t="s">
        <v>243</v>
      </c>
      <c r="AS38" s="54" t="s">
        <v>244</v>
      </c>
      <c r="AT38" s="53" t="s">
        <v>243</v>
      </c>
      <c r="AU38" s="54" t="s">
        <v>244</v>
      </c>
      <c r="AV38" s="53" t="s">
        <v>243</v>
      </c>
      <c r="AW38" s="54" t="s">
        <v>244</v>
      </c>
      <c r="AX38" s="53" t="s">
        <v>243</v>
      </c>
      <c r="AY38" s="54" t="s">
        <v>244</v>
      </c>
      <c r="AZ38" s="53" t="s">
        <v>243</v>
      </c>
      <c r="BA38" s="54" t="s">
        <v>244</v>
      </c>
      <c r="BB38" s="53" t="s">
        <v>243</v>
      </c>
      <c r="BC38" s="54" t="s">
        <v>244</v>
      </c>
      <c r="BD38" s="53" t="s">
        <v>243</v>
      </c>
      <c r="BE38" s="54" t="s">
        <v>244</v>
      </c>
      <c r="BF38" s="53" t="s">
        <v>243</v>
      </c>
      <c r="BG38" s="54" t="s">
        <v>244</v>
      </c>
      <c r="BH38" s="53" t="s">
        <v>243</v>
      </c>
      <c r="BI38" s="54" t="s">
        <v>244</v>
      </c>
      <c r="BJ38" s="53" t="s">
        <v>243</v>
      </c>
      <c r="BK38" s="54" t="s">
        <v>244</v>
      </c>
      <c r="BL38" s="105" t="s">
        <v>243</v>
      </c>
      <c r="BM38" s="106" t="s">
        <v>244</v>
      </c>
    </row>
    <row r="39" spans="1:65" x14ac:dyDescent="0.25">
      <c r="A39" s="20" t="s">
        <v>297</v>
      </c>
      <c r="B39" s="76"/>
      <c r="C39" s="76"/>
      <c r="D39" s="76"/>
      <c r="E39" s="76"/>
      <c r="F39" s="76"/>
      <c r="G39" s="76"/>
      <c r="H39" s="92">
        <v>500</v>
      </c>
      <c r="I39" s="92">
        <v>2352</v>
      </c>
      <c r="J39" s="76"/>
      <c r="K39" s="76"/>
      <c r="L39" s="92">
        <v>209</v>
      </c>
      <c r="M39" s="92">
        <v>602</v>
      </c>
      <c r="N39" s="76"/>
      <c r="O39" s="76"/>
      <c r="P39" s="92">
        <v>0.2</v>
      </c>
      <c r="Q39" s="92">
        <v>62.24</v>
      </c>
      <c r="R39" s="92">
        <v>425.52</v>
      </c>
      <c r="S39" s="92">
        <v>1030.17</v>
      </c>
      <c r="T39" s="92">
        <v>41</v>
      </c>
      <c r="U39" s="92">
        <v>72</v>
      </c>
      <c r="V39" s="92">
        <v>1889</v>
      </c>
      <c r="W39" s="92">
        <v>2938</v>
      </c>
      <c r="X39" s="92">
        <v>2695</v>
      </c>
      <c r="Y39" s="92">
        <v>7714</v>
      </c>
      <c r="Z39" s="92">
        <v>1246</v>
      </c>
      <c r="AA39" s="92">
        <v>1851</v>
      </c>
      <c r="AB39" s="92"/>
      <c r="AC39" s="92">
        <v>11</v>
      </c>
      <c r="AD39" s="92">
        <v>412.28</v>
      </c>
      <c r="AE39" s="92">
        <v>735.85</v>
      </c>
      <c r="AF39" s="92">
        <v>25.54</v>
      </c>
      <c r="AG39" s="92">
        <v>52.6</v>
      </c>
      <c r="AH39" s="76"/>
      <c r="AI39" s="76"/>
      <c r="AJ39" s="76"/>
      <c r="AK39" s="76"/>
      <c r="AL39" s="92">
        <v>2444.96</v>
      </c>
      <c r="AM39" s="92">
        <v>4452.72</v>
      </c>
      <c r="AN39" s="76"/>
      <c r="AO39" s="76"/>
      <c r="AP39" s="92">
        <v>2</v>
      </c>
      <c r="AQ39" s="92">
        <v>2</v>
      </c>
      <c r="AR39" s="76">
        <v>1165</v>
      </c>
      <c r="AS39" s="76">
        <v>1962</v>
      </c>
      <c r="AT39" s="92">
        <v>362.45</v>
      </c>
      <c r="AU39" s="92">
        <v>593.44000000000005</v>
      </c>
      <c r="AV39" s="92">
        <v>618</v>
      </c>
      <c r="AW39" s="92">
        <v>973</v>
      </c>
      <c r="AX39" s="92">
        <v>140</v>
      </c>
      <c r="AY39" s="92">
        <v>411</v>
      </c>
      <c r="AZ39" s="76"/>
      <c r="BA39" s="76"/>
      <c r="BB39" s="92">
        <v>1498</v>
      </c>
      <c r="BC39" s="92">
        <v>2676</v>
      </c>
      <c r="BD39" s="92">
        <v>8861.86</v>
      </c>
      <c r="BE39" s="92">
        <v>12117.81</v>
      </c>
      <c r="BF39" s="92">
        <v>2243</v>
      </c>
      <c r="BG39" s="92">
        <v>3072</v>
      </c>
      <c r="BH39" s="92">
        <v>2504</v>
      </c>
      <c r="BI39" s="92">
        <v>14987</v>
      </c>
      <c r="BJ39" s="92">
        <v>125</v>
      </c>
      <c r="BK39" s="92">
        <v>156</v>
      </c>
      <c r="BL39" s="68">
        <f t="shared" ref="BL39:BL45" si="6">SUM(B39+D39+F39+H39+J39+L39+N39+P39+R39+T39+V39+X39+Z39+AB39+AD39+AF39+AH39+AJ39+AL39+AN39+AP39+AR39+AT39+AV39+AX39+AZ39+BB39+BD39+BF39+BH39+BJ39)</f>
        <v>27407.81</v>
      </c>
      <c r="BM39" s="68">
        <f t="shared" ref="BM39:BM45" si="7">SUM(C39+E39+G39+I39+K39+M39+O39+Q39+S39+U39+W39+Y39+AA39+AC39+AE39+AG39+AI39+AK39+AM39+AO39+AQ39+AS39+AU39+AW39+AY39+BA39+BC39+BE39+BG39+BI39+BK39)</f>
        <v>58823.829999999994</v>
      </c>
    </row>
    <row r="40" spans="1:65" x14ac:dyDescent="0.25">
      <c r="A40" s="20" t="s">
        <v>298</v>
      </c>
      <c r="B40" s="76"/>
      <c r="C40" s="76"/>
      <c r="D40" s="76"/>
      <c r="E40" s="76"/>
      <c r="F40" s="76"/>
      <c r="G40" s="76"/>
      <c r="H40" s="92">
        <v>5</v>
      </c>
      <c r="I40" s="92">
        <v>10.07</v>
      </c>
      <c r="J40" s="76"/>
      <c r="K40" s="76"/>
      <c r="L40" s="92"/>
      <c r="M40" s="92"/>
      <c r="N40" s="76"/>
      <c r="O40" s="76"/>
      <c r="P40" s="92">
        <v>0.38</v>
      </c>
      <c r="Q40" s="92">
        <v>0.38</v>
      </c>
      <c r="R40" s="92">
        <v>1.86</v>
      </c>
      <c r="S40" s="92">
        <v>49.19</v>
      </c>
      <c r="T40" s="92">
        <v>7</v>
      </c>
      <c r="U40" s="92">
        <v>7</v>
      </c>
      <c r="V40" s="92">
        <v>87</v>
      </c>
      <c r="W40" s="92">
        <v>149</v>
      </c>
      <c r="X40" s="92"/>
      <c r="Y40" s="92">
        <v>77</v>
      </c>
      <c r="Z40" s="92">
        <v>28</v>
      </c>
      <c r="AA40" s="92">
        <v>32</v>
      </c>
      <c r="AB40" s="92">
        <v>0</v>
      </c>
      <c r="AC40" s="92">
        <v>0</v>
      </c>
      <c r="AD40" s="92">
        <v>0.79</v>
      </c>
      <c r="AE40" s="92">
        <v>0.79</v>
      </c>
      <c r="AF40" s="92">
        <v>1.08</v>
      </c>
      <c r="AG40" s="92">
        <v>2.09</v>
      </c>
      <c r="AH40" s="76"/>
      <c r="AI40" s="76"/>
      <c r="AJ40" s="76"/>
      <c r="AK40" s="76"/>
      <c r="AL40" s="92">
        <v>46.41</v>
      </c>
      <c r="AM40" s="92">
        <v>101.69</v>
      </c>
      <c r="AN40" s="76"/>
      <c r="AO40" s="76"/>
      <c r="AP40" s="92">
        <v>23</v>
      </c>
      <c r="AQ40" s="92">
        <v>23</v>
      </c>
      <c r="AR40" s="76">
        <v>43</v>
      </c>
      <c r="AS40" s="76">
        <v>43</v>
      </c>
      <c r="AT40" s="92">
        <v>191.51</v>
      </c>
      <c r="AU40" s="92">
        <v>219.12</v>
      </c>
      <c r="AV40" s="92">
        <v>1</v>
      </c>
      <c r="AW40" s="92">
        <v>1</v>
      </c>
      <c r="AX40" s="92">
        <v>1</v>
      </c>
      <c r="AY40" s="92">
        <v>1</v>
      </c>
      <c r="AZ40" s="76"/>
      <c r="BA40" s="76"/>
      <c r="BB40" s="92">
        <v>3</v>
      </c>
      <c r="BC40" s="92">
        <v>3</v>
      </c>
      <c r="BD40" s="92">
        <v>5065.6499999999996</v>
      </c>
      <c r="BE40" s="92">
        <v>6817.69</v>
      </c>
      <c r="BF40" s="92">
        <v>212</v>
      </c>
      <c r="BG40" s="92">
        <v>392</v>
      </c>
      <c r="BH40" s="92">
        <v>15</v>
      </c>
      <c r="BI40" s="92">
        <v>164</v>
      </c>
      <c r="BJ40" s="92">
        <v>0</v>
      </c>
      <c r="BK40" s="92">
        <v>0</v>
      </c>
      <c r="BL40" s="68">
        <f t="shared" si="6"/>
        <v>5732.6799999999994</v>
      </c>
      <c r="BM40" s="68">
        <f t="shared" si="7"/>
        <v>8093.0199999999995</v>
      </c>
    </row>
    <row r="41" spans="1:65" x14ac:dyDescent="0.25">
      <c r="A41" s="20" t="s">
        <v>299</v>
      </c>
      <c r="B41" s="76"/>
      <c r="C41" s="76"/>
      <c r="D41" s="76"/>
      <c r="E41" s="76"/>
      <c r="F41" s="76"/>
      <c r="G41" s="76"/>
      <c r="H41" s="92">
        <v>-736</v>
      </c>
      <c r="I41" s="92">
        <v>-2403</v>
      </c>
      <c r="J41" s="76"/>
      <c r="K41" s="76"/>
      <c r="L41" s="92">
        <v>122</v>
      </c>
      <c r="M41" s="92">
        <v>306</v>
      </c>
      <c r="N41" s="76"/>
      <c r="O41" s="76"/>
      <c r="P41" s="92">
        <v>0.13</v>
      </c>
      <c r="Q41" s="92">
        <v>55.16</v>
      </c>
      <c r="R41" s="92">
        <v>350.46</v>
      </c>
      <c r="S41" s="92">
        <v>898.2</v>
      </c>
      <c r="T41" s="92">
        <v>52</v>
      </c>
      <c r="U41" s="92">
        <v>69</v>
      </c>
      <c r="V41" s="92">
        <v>-1124</v>
      </c>
      <c r="W41" s="92">
        <v>-1702</v>
      </c>
      <c r="X41" s="92">
        <v>1586</v>
      </c>
      <c r="Y41" s="92">
        <v>4603</v>
      </c>
      <c r="Z41" s="92">
        <v>944</v>
      </c>
      <c r="AA41" s="92">
        <v>1436</v>
      </c>
      <c r="AB41" s="92"/>
      <c r="AC41" s="92">
        <v>10</v>
      </c>
      <c r="AD41" s="92">
        <v>277.27</v>
      </c>
      <c r="AE41" s="92">
        <v>498.35</v>
      </c>
      <c r="AF41" s="92">
        <v>-19.41</v>
      </c>
      <c r="AG41" s="92">
        <v>-47.34</v>
      </c>
      <c r="AH41" s="76"/>
      <c r="AI41" s="76"/>
      <c r="AJ41" s="76"/>
      <c r="AK41" s="76"/>
      <c r="AL41" s="92">
        <v>920.49</v>
      </c>
      <c r="AM41" s="92">
        <v>1893.06</v>
      </c>
      <c r="AN41" s="76"/>
      <c r="AO41" s="76"/>
      <c r="AP41" s="92">
        <v>19</v>
      </c>
      <c r="AQ41" s="92">
        <v>19</v>
      </c>
      <c r="AR41" s="76">
        <v>701</v>
      </c>
      <c r="AS41" s="76">
        <v>1193</v>
      </c>
      <c r="AT41" s="92">
        <v>-421.77</v>
      </c>
      <c r="AU41" s="92">
        <v>-635.77</v>
      </c>
      <c r="AV41" s="92">
        <v>226</v>
      </c>
      <c r="AW41" s="92">
        <v>433</v>
      </c>
      <c r="AX41" s="92">
        <v>54</v>
      </c>
      <c r="AY41" s="92">
        <v>81</v>
      </c>
      <c r="AZ41" s="76"/>
      <c r="BA41" s="76"/>
      <c r="BB41" s="92">
        <v>1348</v>
      </c>
      <c r="BC41" s="92">
        <v>2437</v>
      </c>
      <c r="BD41" s="92">
        <v>1629.68</v>
      </c>
      <c r="BE41" s="92">
        <v>2683.49</v>
      </c>
      <c r="BF41" s="92">
        <v>455</v>
      </c>
      <c r="BG41" s="92">
        <v>559</v>
      </c>
      <c r="BH41" s="92">
        <v>576</v>
      </c>
      <c r="BI41" s="92">
        <v>8136</v>
      </c>
      <c r="BJ41" s="92">
        <v>119</v>
      </c>
      <c r="BK41" s="92">
        <v>142</v>
      </c>
      <c r="BL41" s="68">
        <f t="shared" si="6"/>
        <v>7078.85</v>
      </c>
      <c r="BM41" s="68">
        <f t="shared" si="7"/>
        <v>20664.150000000001</v>
      </c>
    </row>
    <row r="42" spans="1:65" s="7" customFormat="1" x14ac:dyDescent="0.25">
      <c r="A42" s="3" t="s">
        <v>300</v>
      </c>
      <c r="B42" s="10"/>
      <c r="C42" s="10"/>
      <c r="D42" s="10"/>
      <c r="E42" s="10"/>
      <c r="F42" s="10"/>
      <c r="G42" s="10"/>
      <c r="H42" s="10">
        <v>-231</v>
      </c>
      <c r="I42" s="10">
        <v>-41</v>
      </c>
      <c r="J42" s="10"/>
      <c r="K42" s="10"/>
      <c r="L42" s="10">
        <v>87</v>
      </c>
      <c r="M42" s="10">
        <v>296</v>
      </c>
      <c r="N42" s="10"/>
      <c r="O42" s="10"/>
      <c r="P42" s="10">
        <v>0.45</v>
      </c>
      <c r="Q42" s="10">
        <v>7.46</v>
      </c>
      <c r="R42" s="10">
        <v>76.92</v>
      </c>
      <c r="S42" s="10">
        <v>181.16</v>
      </c>
      <c r="T42" s="10">
        <v>-5</v>
      </c>
      <c r="U42" s="10">
        <v>10</v>
      </c>
      <c r="V42" s="10">
        <v>852</v>
      </c>
      <c r="W42" s="10">
        <v>1384</v>
      </c>
      <c r="X42" s="10">
        <v>1109</v>
      </c>
      <c r="Y42" s="10">
        <v>3188</v>
      </c>
      <c r="Z42" s="10">
        <v>330</v>
      </c>
      <c r="AA42" s="10">
        <v>447</v>
      </c>
      <c r="AB42" s="10">
        <v>0</v>
      </c>
      <c r="AC42" s="10">
        <v>1</v>
      </c>
      <c r="AD42" s="10"/>
      <c r="AE42" s="10"/>
      <c r="AF42" s="10">
        <v>7.21</v>
      </c>
      <c r="AG42" s="10">
        <v>7.35</v>
      </c>
      <c r="AH42" s="10"/>
      <c r="AI42" s="10"/>
      <c r="AJ42" s="10"/>
      <c r="AK42" s="10"/>
      <c r="AL42" s="10">
        <v>1570.88</v>
      </c>
      <c r="AM42" s="10">
        <v>2661.34</v>
      </c>
      <c r="AN42" s="10"/>
      <c r="AO42" s="10"/>
      <c r="AP42" s="10">
        <v>6</v>
      </c>
      <c r="AQ42" s="10">
        <v>6</v>
      </c>
      <c r="AR42" s="10">
        <v>507</v>
      </c>
      <c r="AS42" s="10">
        <v>813</v>
      </c>
      <c r="AT42" s="10"/>
      <c r="AU42" s="10"/>
      <c r="AV42" s="10">
        <v>393</v>
      </c>
      <c r="AW42" s="10">
        <v>541</v>
      </c>
      <c r="AX42" s="10">
        <v>86</v>
      </c>
      <c r="AY42" s="10">
        <v>331</v>
      </c>
      <c r="AZ42" s="10"/>
      <c r="BA42" s="10"/>
      <c r="BB42" s="10">
        <v>152</v>
      </c>
      <c r="BC42" s="10">
        <v>242</v>
      </c>
      <c r="BD42" s="10"/>
      <c r="BE42" s="10"/>
      <c r="BF42" s="10">
        <v>2000</v>
      </c>
      <c r="BG42" s="10">
        <v>2906</v>
      </c>
      <c r="BH42" s="10">
        <v>1943</v>
      </c>
      <c r="BI42" s="10">
        <v>7015</v>
      </c>
      <c r="BJ42" s="10">
        <v>7</v>
      </c>
      <c r="BK42" s="10">
        <v>14</v>
      </c>
      <c r="BL42" s="63">
        <f t="shared" si="6"/>
        <v>8891.4599999999991</v>
      </c>
      <c r="BM42" s="63">
        <f t="shared" si="7"/>
        <v>20010.310000000001</v>
      </c>
    </row>
    <row r="43" spans="1:65" x14ac:dyDescent="0.25">
      <c r="A43" s="20" t="s">
        <v>301</v>
      </c>
      <c r="B43" s="76"/>
      <c r="C43" s="76"/>
      <c r="D43" s="76"/>
      <c r="E43" s="76"/>
      <c r="F43" s="76"/>
      <c r="G43" s="76"/>
      <c r="H43" s="92">
        <v>2200</v>
      </c>
      <c r="I43" s="92">
        <v>2200</v>
      </c>
      <c r="J43" s="76"/>
      <c r="K43" s="76"/>
      <c r="L43" s="92">
        <v>53</v>
      </c>
      <c r="M43" s="92">
        <v>755</v>
      </c>
      <c r="N43" s="76"/>
      <c r="O43" s="76"/>
      <c r="P43" s="92">
        <v>121.82</v>
      </c>
      <c r="Q43" s="92">
        <v>121.82</v>
      </c>
      <c r="R43" s="92">
        <v>1094.57</v>
      </c>
      <c r="S43" s="92">
        <v>1094.57</v>
      </c>
      <c r="T43" s="92">
        <v>135</v>
      </c>
      <c r="U43" s="92">
        <v>135</v>
      </c>
      <c r="V43" s="92">
        <v>7305</v>
      </c>
      <c r="W43" s="92">
        <v>7305</v>
      </c>
      <c r="X43" s="92">
        <v>11857</v>
      </c>
      <c r="Y43" s="92">
        <v>11857</v>
      </c>
      <c r="Z43" s="92">
        <v>-213</v>
      </c>
      <c r="AA43" s="92">
        <v>1464</v>
      </c>
      <c r="AB43" s="92">
        <v>33</v>
      </c>
      <c r="AC43" s="92">
        <v>33</v>
      </c>
      <c r="AD43" s="92">
        <v>2119.14</v>
      </c>
      <c r="AE43" s="92">
        <v>2119.14</v>
      </c>
      <c r="AF43" s="92">
        <v>244.61</v>
      </c>
      <c r="AG43" s="92">
        <v>244.61</v>
      </c>
      <c r="AH43" s="76"/>
      <c r="AI43" s="76"/>
      <c r="AJ43" s="76"/>
      <c r="AK43" s="76"/>
      <c r="AL43" s="92">
        <v>26523.94</v>
      </c>
      <c r="AM43" s="92">
        <v>26523.94</v>
      </c>
      <c r="AN43" s="76"/>
      <c r="AO43" s="76"/>
      <c r="AP43" s="92">
        <v>93</v>
      </c>
      <c r="AQ43" s="92">
        <v>93</v>
      </c>
      <c r="AR43" s="76">
        <v>3118</v>
      </c>
      <c r="AS43" s="76">
        <v>3118</v>
      </c>
      <c r="AT43" s="92">
        <v>122.58</v>
      </c>
      <c r="AU43" s="92">
        <v>7511.84</v>
      </c>
      <c r="AV43" s="92">
        <v>1677</v>
      </c>
      <c r="AW43" s="92">
        <v>1677</v>
      </c>
      <c r="AX43" s="92">
        <v>1145</v>
      </c>
      <c r="AY43" s="92">
        <v>1145</v>
      </c>
      <c r="AZ43" s="76"/>
      <c r="BA43" s="76"/>
      <c r="BB43" s="92">
        <v>1277</v>
      </c>
      <c r="BC43" s="92">
        <v>1277</v>
      </c>
      <c r="BD43" s="92">
        <v>104911.03999999999</v>
      </c>
      <c r="BE43" s="92">
        <v>104911.03999999999</v>
      </c>
      <c r="BF43" s="92">
        <v>-448</v>
      </c>
      <c r="BG43" s="92">
        <v>41939</v>
      </c>
      <c r="BH43" s="92">
        <v>33045</v>
      </c>
      <c r="BI43" s="92">
        <v>33045</v>
      </c>
      <c r="BJ43" s="92">
        <v>-47</v>
      </c>
      <c r="BK43" s="92">
        <v>402</v>
      </c>
      <c r="BL43" s="68">
        <f t="shared" si="6"/>
        <v>196367.7</v>
      </c>
      <c r="BM43" s="68">
        <f t="shared" si="7"/>
        <v>248971.96</v>
      </c>
    </row>
    <row r="44" spans="1:65" ht="15" customHeight="1" x14ac:dyDescent="0.25">
      <c r="A44" s="20" t="s">
        <v>302</v>
      </c>
      <c r="B44" s="76"/>
      <c r="C44" s="76"/>
      <c r="D44" s="76"/>
      <c r="E44" s="76"/>
      <c r="F44" s="76"/>
      <c r="G44" s="76"/>
      <c r="H44" s="92">
        <v>1373</v>
      </c>
      <c r="I44" s="92">
        <v>1096</v>
      </c>
      <c r="J44" s="76"/>
      <c r="K44" s="76"/>
      <c r="L44" s="92">
        <v>-1</v>
      </c>
      <c r="M44" s="92">
        <v>818</v>
      </c>
      <c r="N44" s="76"/>
      <c r="O44" s="76"/>
      <c r="P44" s="92">
        <v>102.12</v>
      </c>
      <c r="Q44" s="92">
        <v>95.46</v>
      </c>
      <c r="R44" s="92">
        <v>1058.1400000000001</v>
      </c>
      <c r="S44" s="92">
        <v>1005.67</v>
      </c>
      <c r="T44" s="92">
        <v>78</v>
      </c>
      <c r="U44" s="92">
        <v>73</v>
      </c>
      <c r="V44" s="92">
        <v>-7109</v>
      </c>
      <c r="W44" s="92">
        <v>-6067</v>
      </c>
      <c r="X44" s="92">
        <v>10934</v>
      </c>
      <c r="Y44" s="92">
        <v>9528</v>
      </c>
      <c r="Z44" s="92"/>
      <c r="AA44" s="92">
        <v>1717</v>
      </c>
      <c r="AB44" s="92">
        <v>25</v>
      </c>
      <c r="AC44" s="92">
        <v>17</v>
      </c>
      <c r="AD44" s="92">
        <v>1949.75</v>
      </c>
      <c r="AE44" s="92">
        <v>1767.63</v>
      </c>
      <c r="AF44" s="92">
        <v>-259.02999999999997</v>
      </c>
      <c r="AG44" s="92">
        <v>-234.35</v>
      </c>
      <c r="AH44" s="76"/>
      <c r="AI44" s="76"/>
      <c r="AJ44" s="76"/>
      <c r="AK44" s="76"/>
      <c r="AL44" s="92">
        <v>27524.03</v>
      </c>
      <c r="AM44" s="92">
        <v>29235.87</v>
      </c>
      <c r="AN44" s="76"/>
      <c r="AO44" s="76"/>
      <c r="AP44" s="92">
        <v>22</v>
      </c>
      <c r="AQ44" s="92">
        <v>9</v>
      </c>
      <c r="AR44" s="76">
        <v>3254</v>
      </c>
      <c r="AS44" s="76">
        <v>2829</v>
      </c>
      <c r="AT44" s="76"/>
      <c r="AU44" s="92">
        <v>-6956.14</v>
      </c>
      <c r="AV44" s="92">
        <v>1818</v>
      </c>
      <c r="AW44" s="92">
        <v>1097</v>
      </c>
      <c r="AX44" s="92">
        <v>1091</v>
      </c>
      <c r="AY44" s="92">
        <v>1221</v>
      </c>
      <c r="AZ44" s="76"/>
      <c r="BA44" s="76"/>
      <c r="BB44" s="92">
        <v>1171</v>
      </c>
      <c r="BC44" s="92">
        <v>914</v>
      </c>
      <c r="BD44" s="92">
        <v>98510.66</v>
      </c>
      <c r="BE44" s="92">
        <v>97589.81</v>
      </c>
      <c r="BF44" s="92">
        <v>0</v>
      </c>
      <c r="BG44" s="92">
        <v>44756</v>
      </c>
      <c r="BH44" s="92">
        <v>36866</v>
      </c>
      <c r="BI44" s="92">
        <v>43145</v>
      </c>
      <c r="BJ44" s="92"/>
      <c r="BK44" s="92">
        <v>527</v>
      </c>
      <c r="BL44" s="68">
        <f t="shared" si="6"/>
        <v>178407.67</v>
      </c>
      <c r="BM44" s="68">
        <f t="shared" si="7"/>
        <v>224183.95</v>
      </c>
    </row>
    <row r="45" spans="1:65" s="7" customFormat="1" x14ac:dyDescent="0.25">
      <c r="A45" s="3" t="s">
        <v>303</v>
      </c>
      <c r="B45" s="10"/>
      <c r="C45" s="10"/>
      <c r="D45" s="10"/>
      <c r="E45" s="10"/>
      <c r="F45" s="10"/>
      <c r="G45" s="10"/>
      <c r="H45" s="10">
        <v>596</v>
      </c>
      <c r="I45" s="10">
        <v>1063</v>
      </c>
      <c r="J45" s="10"/>
      <c r="K45" s="10"/>
      <c r="L45" s="10">
        <v>141</v>
      </c>
      <c r="M45" s="10">
        <v>233</v>
      </c>
      <c r="N45" s="10"/>
      <c r="O45" s="10"/>
      <c r="P45" s="10">
        <v>20.149999999999999</v>
      </c>
      <c r="Q45" s="10">
        <v>33.82</v>
      </c>
      <c r="R45" s="10">
        <v>113.35</v>
      </c>
      <c r="S45" s="10">
        <v>270.06</v>
      </c>
      <c r="T45" s="10">
        <v>53</v>
      </c>
      <c r="U45" s="10">
        <v>73</v>
      </c>
      <c r="V45" s="10">
        <v>1048</v>
      </c>
      <c r="W45" s="10">
        <v>2622</v>
      </c>
      <c r="X45" s="10">
        <v>2032</v>
      </c>
      <c r="Y45" s="10">
        <v>4408</v>
      </c>
      <c r="Z45" s="10">
        <v>116</v>
      </c>
      <c r="AA45" s="10">
        <v>194</v>
      </c>
      <c r="AB45" s="10">
        <v>8</v>
      </c>
      <c r="AC45" s="10">
        <v>17</v>
      </c>
      <c r="AD45" s="10">
        <v>186.93</v>
      </c>
      <c r="AE45" s="10">
        <v>329.53</v>
      </c>
      <c r="AF45" s="10">
        <v>-7.21</v>
      </c>
      <c r="AG45" s="10">
        <v>17.61</v>
      </c>
      <c r="AH45" s="10"/>
      <c r="AI45" s="10"/>
      <c r="AJ45" s="10"/>
      <c r="AK45" s="10"/>
      <c r="AL45" s="10">
        <v>570.79</v>
      </c>
      <c r="AM45" s="10">
        <v>-50.59</v>
      </c>
      <c r="AN45" s="10"/>
      <c r="AO45" s="10"/>
      <c r="AP45" s="10">
        <v>77</v>
      </c>
      <c r="AQ45" s="10">
        <v>91</v>
      </c>
      <c r="AR45" s="10">
        <v>371</v>
      </c>
      <c r="AS45" s="10">
        <v>1102</v>
      </c>
      <c r="AT45" s="10">
        <v>173.24</v>
      </c>
      <c r="AU45" s="10">
        <v>370.93</v>
      </c>
      <c r="AV45" s="10">
        <v>252</v>
      </c>
      <c r="AW45" s="10">
        <v>1121</v>
      </c>
      <c r="AX45" s="10">
        <v>141</v>
      </c>
      <c r="AY45" s="10">
        <v>256</v>
      </c>
      <c r="AZ45" s="10"/>
      <c r="BA45" s="10"/>
      <c r="BB45" s="10">
        <v>258</v>
      </c>
      <c r="BC45" s="10">
        <v>605</v>
      </c>
      <c r="BD45" s="10">
        <v>10136.85</v>
      </c>
      <c r="BE45" s="10">
        <v>11975.96</v>
      </c>
      <c r="BF45" s="10">
        <v>1552</v>
      </c>
      <c r="BG45" s="10">
        <v>89</v>
      </c>
      <c r="BH45" s="10">
        <v>-1878</v>
      </c>
      <c r="BI45" s="10">
        <v>-3085</v>
      </c>
      <c r="BJ45" s="10">
        <v>-40</v>
      </c>
      <c r="BK45" s="10">
        <v>-111</v>
      </c>
      <c r="BL45" s="63">
        <f t="shared" si="6"/>
        <v>15921.099999999999</v>
      </c>
      <c r="BM45" s="63">
        <f t="shared" si="7"/>
        <v>21625.32</v>
      </c>
    </row>
    <row r="46" spans="1:65" x14ac:dyDescent="0.25">
      <c r="A46" s="28"/>
    </row>
    <row r="47" spans="1:65" x14ac:dyDescent="0.25">
      <c r="A47" s="29" t="s">
        <v>186</v>
      </c>
    </row>
    <row r="48" spans="1:65" x14ac:dyDescent="0.25">
      <c r="A48" s="3" t="s">
        <v>0</v>
      </c>
      <c r="B48" s="147" t="s">
        <v>1</v>
      </c>
      <c r="C48" s="148"/>
      <c r="D48" s="147" t="s">
        <v>233</v>
      </c>
      <c r="E48" s="148"/>
      <c r="F48" s="147" t="s">
        <v>2</v>
      </c>
      <c r="G48" s="148"/>
      <c r="H48" s="147" t="s">
        <v>3</v>
      </c>
      <c r="I48" s="148"/>
      <c r="J48" s="147" t="s">
        <v>242</v>
      </c>
      <c r="K48" s="148"/>
      <c r="L48" s="147" t="s">
        <v>234</v>
      </c>
      <c r="M48" s="148"/>
      <c r="N48" s="147" t="s">
        <v>5</v>
      </c>
      <c r="O48" s="148"/>
      <c r="P48" s="147" t="s">
        <v>4</v>
      </c>
      <c r="Q48" s="148"/>
      <c r="R48" s="147" t="s">
        <v>6</v>
      </c>
      <c r="S48" s="148"/>
      <c r="T48" s="147" t="s">
        <v>254</v>
      </c>
      <c r="U48" s="148"/>
      <c r="V48" s="147" t="s">
        <v>7</v>
      </c>
      <c r="W48" s="148"/>
      <c r="X48" s="147" t="s">
        <v>8</v>
      </c>
      <c r="Y48" s="148"/>
      <c r="Z48" s="147" t="s">
        <v>9</v>
      </c>
      <c r="AA48" s="148"/>
      <c r="AB48" s="147" t="s">
        <v>241</v>
      </c>
      <c r="AC48" s="148"/>
      <c r="AD48" s="147" t="s">
        <v>10</v>
      </c>
      <c r="AE48" s="148"/>
      <c r="AF48" s="147" t="s">
        <v>11</v>
      </c>
      <c r="AG48" s="148"/>
      <c r="AH48" s="147" t="s">
        <v>235</v>
      </c>
      <c r="AI48" s="148"/>
      <c r="AJ48" s="147" t="s">
        <v>253</v>
      </c>
      <c r="AK48" s="148"/>
      <c r="AL48" s="147" t="s">
        <v>12</v>
      </c>
      <c r="AM48" s="148"/>
      <c r="AN48" s="147" t="s">
        <v>236</v>
      </c>
      <c r="AO48" s="148"/>
      <c r="AP48" s="147" t="s">
        <v>237</v>
      </c>
      <c r="AQ48" s="148"/>
      <c r="AR48" s="147" t="s">
        <v>240</v>
      </c>
      <c r="AS48" s="148"/>
      <c r="AT48" s="147" t="s">
        <v>13</v>
      </c>
      <c r="AU48" s="148"/>
      <c r="AV48" s="147" t="s">
        <v>14</v>
      </c>
      <c r="AW48" s="148"/>
      <c r="AX48" s="147" t="s">
        <v>15</v>
      </c>
      <c r="AY48" s="148"/>
      <c r="AZ48" s="147" t="s">
        <v>16</v>
      </c>
      <c r="BA48" s="148"/>
      <c r="BB48" s="147" t="s">
        <v>17</v>
      </c>
      <c r="BC48" s="148"/>
      <c r="BD48" s="147" t="s">
        <v>238</v>
      </c>
      <c r="BE48" s="148"/>
      <c r="BF48" s="147" t="s">
        <v>239</v>
      </c>
      <c r="BG48" s="148"/>
      <c r="BH48" s="147" t="s">
        <v>18</v>
      </c>
      <c r="BI48" s="148"/>
      <c r="BJ48" s="147" t="s">
        <v>19</v>
      </c>
      <c r="BK48" s="148"/>
      <c r="BL48" s="149" t="s">
        <v>20</v>
      </c>
      <c r="BM48" s="150"/>
    </row>
    <row r="49" spans="1:65" ht="30" x14ac:dyDescent="0.25">
      <c r="A49" s="3"/>
      <c r="B49" s="53" t="s">
        <v>243</v>
      </c>
      <c r="C49" s="54" t="s">
        <v>244</v>
      </c>
      <c r="D49" s="53" t="s">
        <v>243</v>
      </c>
      <c r="E49" s="54" t="s">
        <v>244</v>
      </c>
      <c r="F49" s="53" t="s">
        <v>243</v>
      </c>
      <c r="G49" s="54" t="s">
        <v>244</v>
      </c>
      <c r="H49" s="53" t="s">
        <v>243</v>
      </c>
      <c r="I49" s="54" t="s">
        <v>244</v>
      </c>
      <c r="J49" s="53" t="s">
        <v>243</v>
      </c>
      <c r="K49" s="54" t="s">
        <v>244</v>
      </c>
      <c r="L49" s="53" t="s">
        <v>243</v>
      </c>
      <c r="M49" s="54" t="s">
        <v>244</v>
      </c>
      <c r="N49" s="53" t="s">
        <v>243</v>
      </c>
      <c r="O49" s="54" t="s">
        <v>244</v>
      </c>
      <c r="P49" s="53" t="s">
        <v>243</v>
      </c>
      <c r="Q49" s="54" t="s">
        <v>244</v>
      </c>
      <c r="R49" s="53" t="s">
        <v>243</v>
      </c>
      <c r="S49" s="54" t="s">
        <v>244</v>
      </c>
      <c r="T49" s="53" t="s">
        <v>243</v>
      </c>
      <c r="U49" s="54" t="s">
        <v>244</v>
      </c>
      <c r="V49" s="53" t="s">
        <v>243</v>
      </c>
      <c r="W49" s="54" t="s">
        <v>244</v>
      </c>
      <c r="X49" s="53" t="s">
        <v>243</v>
      </c>
      <c r="Y49" s="54" t="s">
        <v>244</v>
      </c>
      <c r="Z49" s="53" t="s">
        <v>243</v>
      </c>
      <c r="AA49" s="54" t="s">
        <v>244</v>
      </c>
      <c r="AB49" s="53" t="s">
        <v>243</v>
      </c>
      <c r="AC49" s="54" t="s">
        <v>244</v>
      </c>
      <c r="AD49" s="53" t="s">
        <v>243</v>
      </c>
      <c r="AE49" s="54" t="s">
        <v>244</v>
      </c>
      <c r="AF49" s="53" t="s">
        <v>243</v>
      </c>
      <c r="AG49" s="54" t="s">
        <v>244</v>
      </c>
      <c r="AH49" s="53" t="s">
        <v>243</v>
      </c>
      <c r="AI49" s="54" t="s">
        <v>244</v>
      </c>
      <c r="AJ49" s="53" t="s">
        <v>243</v>
      </c>
      <c r="AK49" s="54" t="s">
        <v>244</v>
      </c>
      <c r="AL49" s="53" t="s">
        <v>243</v>
      </c>
      <c r="AM49" s="54" t="s">
        <v>244</v>
      </c>
      <c r="AN49" s="53" t="s">
        <v>243</v>
      </c>
      <c r="AO49" s="54" t="s">
        <v>244</v>
      </c>
      <c r="AP49" s="53" t="s">
        <v>243</v>
      </c>
      <c r="AQ49" s="54" t="s">
        <v>244</v>
      </c>
      <c r="AR49" s="53" t="s">
        <v>243</v>
      </c>
      <c r="AS49" s="54" t="s">
        <v>244</v>
      </c>
      <c r="AT49" s="53" t="s">
        <v>243</v>
      </c>
      <c r="AU49" s="54" t="s">
        <v>244</v>
      </c>
      <c r="AV49" s="53" t="s">
        <v>243</v>
      </c>
      <c r="AW49" s="54" t="s">
        <v>244</v>
      </c>
      <c r="AX49" s="53" t="s">
        <v>243</v>
      </c>
      <c r="AY49" s="54" t="s">
        <v>244</v>
      </c>
      <c r="AZ49" s="53" t="s">
        <v>243</v>
      </c>
      <c r="BA49" s="54" t="s">
        <v>244</v>
      </c>
      <c r="BB49" s="53" t="s">
        <v>243</v>
      </c>
      <c r="BC49" s="54" t="s">
        <v>244</v>
      </c>
      <c r="BD49" s="53" t="s">
        <v>243</v>
      </c>
      <c r="BE49" s="54" t="s">
        <v>244</v>
      </c>
      <c r="BF49" s="53" t="s">
        <v>243</v>
      </c>
      <c r="BG49" s="54" t="s">
        <v>244</v>
      </c>
      <c r="BH49" s="53" t="s">
        <v>243</v>
      </c>
      <c r="BI49" s="54" t="s">
        <v>244</v>
      </c>
      <c r="BJ49" s="53" t="s">
        <v>243</v>
      </c>
      <c r="BK49" s="54" t="s">
        <v>244</v>
      </c>
      <c r="BL49" s="105" t="s">
        <v>243</v>
      </c>
      <c r="BM49" s="106" t="s">
        <v>244</v>
      </c>
    </row>
    <row r="50" spans="1:65" x14ac:dyDescent="0.25">
      <c r="A50" s="20" t="s">
        <v>297</v>
      </c>
      <c r="B50" s="92">
        <v>8044</v>
      </c>
      <c r="C50" s="92">
        <v>12281</v>
      </c>
      <c r="D50" s="71">
        <v>30106</v>
      </c>
      <c r="E50" s="92">
        <v>52149</v>
      </c>
      <c r="F50" s="76"/>
      <c r="G50" s="76"/>
      <c r="H50" s="92">
        <v>66736</v>
      </c>
      <c r="I50" s="92">
        <v>121348</v>
      </c>
      <c r="J50" s="92">
        <v>66522.149999999994</v>
      </c>
      <c r="K50" s="92">
        <v>106711.62</v>
      </c>
      <c r="L50" s="92">
        <v>21098</v>
      </c>
      <c r="M50" s="92">
        <v>39704</v>
      </c>
      <c r="N50" s="76"/>
      <c r="O50" s="76"/>
      <c r="P50" s="92">
        <v>3325.11</v>
      </c>
      <c r="Q50" s="92">
        <v>6499.3</v>
      </c>
      <c r="R50" s="92">
        <v>15682.09</v>
      </c>
      <c r="S50" s="92">
        <v>30599.75</v>
      </c>
      <c r="T50" s="92">
        <v>3720</v>
      </c>
      <c r="U50" s="92">
        <v>8649</v>
      </c>
      <c r="V50" s="92">
        <v>117830</v>
      </c>
      <c r="W50" s="92">
        <v>194334</v>
      </c>
      <c r="X50" s="92">
        <v>81926</v>
      </c>
      <c r="Y50" s="92">
        <v>153857</v>
      </c>
      <c r="Z50" s="92">
        <v>59461</v>
      </c>
      <c r="AA50" s="92">
        <v>109834</v>
      </c>
      <c r="AB50" s="92">
        <v>3623</v>
      </c>
      <c r="AC50" s="92">
        <v>6284</v>
      </c>
      <c r="AD50" s="92">
        <v>5294.5</v>
      </c>
      <c r="AE50" s="92">
        <v>10717.82</v>
      </c>
      <c r="AF50" s="92">
        <v>1808.19</v>
      </c>
      <c r="AG50" s="92">
        <v>2848.19</v>
      </c>
      <c r="AH50" s="92">
        <v>18892.47</v>
      </c>
      <c r="AI50" s="92">
        <v>34329.699999999997</v>
      </c>
      <c r="AJ50" s="92">
        <v>38361.42</v>
      </c>
      <c r="AK50" s="92">
        <v>68289.03</v>
      </c>
      <c r="AL50" s="92">
        <v>193274.07</v>
      </c>
      <c r="AM50" s="92">
        <v>340502.81</v>
      </c>
      <c r="AN50" s="92">
        <v>183</v>
      </c>
      <c r="AO50" s="92">
        <v>286</v>
      </c>
      <c r="AP50" s="92">
        <v>77</v>
      </c>
      <c r="AQ50" s="92">
        <v>1301</v>
      </c>
      <c r="AR50" s="76">
        <v>25673</v>
      </c>
      <c r="AS50" s="76">
        <v>50818</v>
      </c>
      <c r="AT50" s="92">
        <v>10440.84</v>
      </c>
      <c r="AU50" s="92">
        <v>18428.14</v>
      </c>
      <c r="AV50" s="92">
        <v>31896</v>
      </c>
      <c r="AW50" s="92">
        <v>57630</v>
      </c>
      <c r="AX50" s="76"/>
      <c r="AY50" s="76"/>
      <c r="AZ50" s="92">
        <v>276765</v>
      </c>
      <c r="BA50" s="92">
        <v>436836</v>
      </c>
      <c r="BB50" s="92">
        <v>25962</v>
      </c>
      <c r="BC50" s="92">
        <v>41387</v>
      </c>
      <c r="BD50" s="92">
        <v>454592.46</v>
      </c>
      <c r="BE50" s="92">
        <v>797626.7</v>
      </c>
      <c r="BF50" s="92">
        <v>215297</v>
      </c>
      <c r="BG50" s="92">
        <v>365225</v>
      </c>
      <c r="BH50" s="92">
        <v>199930</v>
      </c>
      <c r="BI50" s="92">
        <v>365101</v>
      </c>
      <c r="BJ50" s="92">
        <v>9909</v>
      </c>
      <c r="BK50" s="92">
        <v>15055</v>
      </c>
      <c r="BL50" s="68">
        <f t="shared" ref="BL50:BL56" si="8">SUM(B50+D50+F50+H50+J50+L50+N50+P50+R50+T50+V50+X50+Z50+AB50+AD50+AF50+AH50+AJ50+AL50+AN50+AP50+AR50+AT50+AV50+AX50+AZ50+BB50+BD50+BF50+BH50+BJ50)</f>
        <v>1986429.2999999998</v>
      </c>
      <c r="BM50" s="68">
        <f t="shared" ref="BM50:BM56" si="9">SUM(C50+E50+G50+I50+K50+M50+O50+Q50+S50+U50+W50+Y50+AA50+AC50+AE50+AG50+AI50+AK50+AM50+AO50+AQ50+AS50+AU50+AW50+AY50+BA50+BC50+BE50+BG50+BI50+BK50)</f>
        <v>3448632.0599999996</v>
      </c>
    </row>
    <row r="51" spans="1:65" x14ac:dyDescent="0.25">
      <c r="A51" s="20" t="s">
        <v>298</v>
      </c>
      <c r="B51" s="92"/>
      <c r="C51" s="92"/>
      <c r="D51" s="92"/>
      <c r="E51" s="92"/>
      <c r="F51" s="76"/>
      <c r="G51" s="76"/>
      <c r="H51" s="92"/>
      <c r="I51" s="92">
        <v>0</v>
      </c>
      <c r="J51" s="92">
        <v>-799.92</v>
      </c>
      <c r="K51" s="92">
        <v>-132.66</v>
      </c>
      <c r="L51" s="92"/>
      <c r="M51" s="92"/>
      <c r="N51" s="76"/>
      <c r="O51" s="76"/>
      <c r="P51" s="92">
        <v>41.04</v>
      </c>
      <c r="Q51" s="92">
        <v>171.88</v>
      </c>
      <c r="R51" s="92"/>
      <c r="S51" s="92"/>
      <c r="T51" s="92"/>
      <c r="U51" s="92"/>
      <c r="V51" s="92"/>
      <c r="W51" s="92"/>
      <c r="X51" s="92">
        <v>3317</v>
      </c>
      <c r="Y51" s="92">
        <v>3807</v>
      </c>
      <c r="Z51" s="92"/>
      <c r="AA51" s="92"/>
      <c r="AB51" s="92"/>
      <c r="AC51" s="92"/>
      <c r="AD51" s="76"/>
      <c r="AE51" s="76"/>
      <c r="AF51" s="92"/>
      <c r="AG51" s="92"/>
      <c r="AH51" s="92"/>
      <c r="AI51" s="92"/>
      <c r="AJ51" s="92"/>
      <c r="AK51" s="92"/>
      <c r="AL51" s="92">
        <v>3235.95</v>
      </c>
      <c r="AM51" s="92">
        <v>3235.95</v>
      </c>
      <c r="AN51" s="92"/>
      <c r="AO51" s="92"/>
      <c r="AP51" s="92"/>
      <c r="AQ51" s="92"/>
      <c r="AR51" s="76"/>
      <c r="AS51" s="76"/>
      <c r="AT51" s="76"/>
      <c r="AU51" s="92"/>
      <c r="AV51" s="92"/>
      <c r="AW51" s="92"/>
      <c r="AX51" s="76"/>
      <c r="AY51" s="76"/>
      <c r="AZ51" s="92"/>
      <c r="BA51" s="92"/>
      <c r="BB51" s="92"/>
      <c r="BC51" s="92"/>
      <c r="BD51" s="92">
        <v>1515.59</v>
      </c>
      <c r="BE51" s="92">
        <v>1515.59</v>
      </c>
      <c r="BF51" s="92">
        <v>2589</v>
      </c>
      <c r="BG51" s="92">
        <v>2589</v>
      </c>
      <c r="BH51" s="92">
        <v>0</v>
      </c>
      <c r="BI51" s="92">
        <v>0</v>
      </c>
      <c r="BJ51" s="92"/>
      <c r="BK51" s="92"/>
      <c r="BL51" s="68">
        <f t="shared" si="8"/>
        <v>9898.66</v>
      </c>
      <c r="BM51" s="68">
        <f t="shared" si="9"/>
        <v>11186.76</v>
      </c>
    </row>
    <row r="52" spans="1:65" x14ac:dyDescent="0.25">
      <c r="A52" s="20" t="s">
        <v>299</v>
      </c>
      <c r="B52" s="92">
        <v>402</v>
      </c>
      <c r="C52" s="92">
        <v>614</v>
      </c>
      <c r="D52" s="92">
        <v>5376</v>
      </c>
      <c r="E52" s="92">
        <v>7672</v>
      </c>
      <c r="F52" s="76"/>
      <c r="G52" s="76"/>
      <c r="H52" s="92">
        <v>-16243</v>
      </c>
      <c r="I52" s="92">
        <v>-27894</v>
      </c>
      <c r="J52" s="92">
        <v>18496.09</v>
      </c>
      <c r="K52" s="92">
        <v>29491.79</v>
      </c>
      <c r="L52" s="92">
        <v>2209</v>
      </c>
      <c r="M52" s="92">
        <v>3894</v>
      </c>
      <c r="N52" s="76"/>
      <c r="O52" s="76"/>
      <c r="P52" s="92">
        <v>210.07</v>
      </c>
      <c r="Q52" s="92">
        <v>383.16</v>
      </c>
      <c r="R52" s="92">
        <v>4067.8</v>
      </c>
      <c r="S52" s="92">
        <v>7691.08</v>
      </c>
      <c r="T52" s="92">
        <v>505</v>
      </c>
      <c r="U52" s="92">
        <v>1678</v>
      </c>
      <c r="V52" s="92">
        <v>-24324</v>
      </c>
      <c r="W52" s="92">
        <v>-39517</v>
      </c>
      <c r="X52" s="92">
        <v>10465</v>
      </c>
      <c r="Y52" s="92">
        <v>19047</v>
      </c>
      <c r="Z52" s="92">
        <v>9042</v>
      </c>
      <c r="AA52" s="92">
        <v>14635</v>
      </c>
      <c r="AB52" s="92">
        <v>224</v>
      </c>
      <c r="AC52" s="92">
        <v>359</v>
      </c>
      <c r="AD52" s="92">
        <v>289.73</v>
      </c>
      <c r="AE52" s="92">
        <v>599.99</v>
      </c>
      <c r="AF52" s="92">
        <v>-121</v>
      </c>
      <c r="AG52" s="92">
        <v>-229.45</v>
      </c>
      <c r="AH52" s="92">
        <v>944.5</v>
      </c>
      <c r="AI52" s="92">
        <v>1716.12</v>
      </c>
      <c r="AJ52" s="92">
        <v>8605.92</v>
      </c>
      <c r="AK52" s="92">
        <v>15205.06</v>
      </c>
      <c r="AL52" s="92">
        <v>14640.82</v>
      </c>
      <c r="AM52" s="92">
        <v>27228.99</v>
      </c>
      <c r="AN52" s="92">
        <v>-30</v>
      </c>
      <c r="AO52" s="92">
        <v>-38</v>
      </c>
      <c r="AP52" s="92">
        <v>4</v>
      </c>
      <c r="AQ52" s="92">
        <v>65</v>
      </c>
      <c r="AR52" s="76">
        <v>3874</v>
      </c>
      <c r="AS52" s="76">
        <v>7708</v>
      </c>
      <c r="AT52" s="76">
        <v>-1923.29</v>
      </c>
      <c r="AU52" s="92">
        <v>-3416.18</v>
      </c>
      <c r="AV52" s="92">
        <v>1840</v>
      </c>
      <c r="AW52" s="92">
        <v>3127</v>
      </c>
      <c r="AX52" s="76"/>
      <c r="AY52" s="76"/>
      <c r="AZ52" s="92">
        <v>15232</v>
      </c>
      <c r="BA52" s="92">
        <v>24029</v>
      </c>
      <c r="BB52" s="92">
        <v>1600</v>
      </c>
      <c r="BC52" s="92">
        <v>2733</v>
      </c>
      <c r="BD52" s="92">
        <v>34921.339999999997</v>
      </c>
      <c r="BE52" s="92">
        <v>58351.19</v>
      </c>
      <c r="BF52" s="92">
        <v>9878</v>
      </c>
      <c r="BG52" s="92">
        <v>17349</v>
      </c>
      <c r="BH52" s="92">
        <v>12072</v>
      </c>
      <c r="BI52" s="92">
        <v>22427</v>
      </c>
      <c r="BJ52" s="92">
        <v>496</v>
      </c>
      <c r="BK52" s="92">
        <v>753</v>
      </c>
      <c r="BL52" s="68">
        <f t="shared" si="8"/>
        <v>112753.98</v>
      </c>
      <c r="BM52" s="68">
        <f t="shared" si="9"/>
        <v>195662.75</v>
      </c>
    </row>
    <row r="53" spans="1:65" s="7" customFormat="1" x14ac:dyDescent="0.25">
      <c r="A53" s="3" t="s">
        <v>300</v>
      </c>
      <c r="B53" s="10">
        <v>7642</v>
      </c>
      <c r="C53" s="10">
        <v>11667</v>
      </c>
      <c r="D53" s="10">
        <v>24730</v>
      </c>
      <c r="E53" s="10">
        <v>44477</v>
      </c>
      <c r="F53" s="10"/>
      <c r="G53" s="10"/>
      <c r="H53" s="10">
        <v>50493</v>
      </c>
      <c r="I53" s="10">
        <v>93453</v>
      </c>
      <c r="J53" s="10"/>
      <c r="K53" s="10"/>
      <c r="L53" s="10">
        <v>18889</v>
      </c>
      <c r="M53" s="10">
        <v>35810</v>
      </c>
      <c r="N53" s="10"/>
      <c r="O53" s="10"/>
      <c r="P53" s="10">
        <v>3156.08</v>
      </c>
      <c r="Q53" s="10">
        <v>6288.02</v>
      </c>
      <c r="R53" s="10">
        <v>11614.28</v>
      </c>
      <c r="S53" s="10">
        <v>22908.66</v>
      </c>
      <c r="T53" s="10">
        <v>3214</v>
      </c>
      <c r="U53" s="10">
        <v>6971</v>
      </c>
      <c r="V53" s="10">
        <v>93506</v>
      </c>
      <c r="W53" s="10">
        <v>154820</v>
      </c>
      <c r="X53" s="10">
        <v>74778</v>
      </c>
      <c r="Y53" s="10">
        <v>138617</v>
      </c>
      <c r="Z53" s="10">
        <v>50419</v>
      </c>
      <c r="AA53" s="10">
        <v>95199</v>
      </c>
      <c r="AB53" s="10">
        <v>3399</v>
      </c>
      <c r="AC53" s="10">
        <v>5924</v>
      </c>
      <c r="AD53" s="10"/>
      <c r="AE53" s="10"/>
      <c r="AF53" s="10">
        <v>1687.69</v>
      </c>
      <c r="AG53" s="10">
        <v>2618.7399999999998</v>
      </c>
      <c r="AH53" s="10">
        <v>17947.96</v>
      </c>
      <c r="AI53" s="10">
        <v>32613.57</v>
      </c>
      <c r="AJ53" s="10">
        <v>29755.5</v>
      </c>
      <c r="AK53" s="10">
        <v>53083.97</v>
      </c>
      <c r="AL53" s="10">
        <v>181869.2</v>
      </c>
      <c r="AM53" s="10">
        <v>316509.78000000003</v>
      </c>
      <c r="AN53" s="10">
        <v>153</v>
      </c>
      <c r="AO53" s="10">
        <v>249</v>
      </c>
      <c r="AP53" s="10">
        <v>74</v>
      </c>
      <c r="AQ53" s="10">
        <v>1236</v>
      </c>
      <c r="AR53" s="10">
        <v>21799</v>
      </c>
      <c r="AS53" s="10">
        <v>43110</v>
      </c>
      <c r="AT53" s="10"/>
      <c r="AU53" s="10"/>
      <c r="AV53" s="10">
        <v>30056</v>
      </c>
      <c r="AW53" s="10">
        <v>54503</v>
      </c>
      <c r="AX53" s="10"/>
      <c r="AY53" s="10"/>
      <c r="AZ53" s="10">
        <v>261533</v>
      </c>
      <c r="BA53" s="10">
        <v>412808</v>
      </c>
      <c r="BB53" s="10">
        <v>24362</v>
      </c>
      <c r="BC53" s="10">
        <v>38654</v>
      </c>
      <c r="BD53" s="10"/>
      <c r="BE53" s="10"/>
      <c r="BF53" s="10">
        <v>208008</v>
      </c>
      <c r="BG53" s="10">
        <v>350465</v>
      </c>
      <c r="BH53" s="10">
        <v>187858</v>
      </c>
      <c r="BI53" s="10">
        <v>342674</v>
      </c>
      <c r="BJ53" s="10">
        <v>9413</v>
      </c>
      <c r="BK53" s="10">
        <v>14302</v>
      </c>
      <c r="BL53" s="63">
        <f t="shared" si="8"/>
        <v>1316356.71</v>
      </c>
      <c r="BM53" s="63">
        <f t="shared" si="9"/>
        <v>2278961.7399999998</v>
      </c>
    </row>
    <row r="54" spans="1:65" x14ac:dyDescent="0.25">
      <c r="A54" s="20" t="s">
        <v>301</v>
      </c>
      <c r="B54" s="92">
        <v>4319</v>
      </c>
      <c r="C54" s="92">
        <v>4319</v>
      </c>
      <c r="D54" s="92">
        <v>11897</v>
      </c>
      <c r="E54" s="92">
        <v>11897</v>
      </c>
      <c r="F54" s="76"/>
      <c r="G54" s="76"/>
      <c r="H54" s="92">
        <v>41581</v>
      </c>
      <c r="I54" s="92">
        <v>41581</v>
      </c>
      <c r="J54" s="92">
        <v>41497.24</v>
      </c>
      <c r="K54" s="92">
        <v>41497.24</v>
      </c>
      <c r="L54" s="92">
        <v>-5476</v>
      </c>
      <c r="M54" s="92">
        <v>9166</v>
      </c>
      <c r="N54" s="76"/>
      <c r="O54" s="76"/>
      <c r="P54" s="92">
        <v>3260.17</v>
      </c>
      <c r="Q54" s="92">
        <v>3260.17</v>
      </c>
      <c r="R54" s="92">
        <v>6043.88</v>
      </c>
      <c r="S54" s="92">
        <v>6043.88</v>
      </c>
      <c r="T54" s="92">
        <v>3348</v>
      </c>
      <c r="U54" s="92">
        <v>3348</v>
      </c>
      <c r="V54" s="92">
        <v>71500</v>
      </c>
      <c r="W54" s="92">
        <v>71500</v>
      </c>
      <c r="X54" s="92">
        <v>95227</v>
      </c>
      <c r="Y54" s="92">
        <v>95227</v>
      </c>
      <c r="Z54" s="92">
        <v>-251</v>
      </c>
      <c r="AA54" s="92">
        <v>22998</v>
      </c>
      <c r="AB54" s="92">
        <v>3902</v>
      </c>
      <c r="AC54" s="92">
        <v>3902</v>
      </c>
      <c r="AD54" s="92">
        <v>5544.73</v>
      </c>
      <c r="AE54" s="92">
        <v>5544.73</v>
      </c>
      <c r="AF54" s="92">
        <v>1896.71</v>
      </c>
      <c r="AG54" s="92">
        <v>1896.71</v>
      </c>
      <c r="AH54" s="92">
        <v>11472.52</v>
      </c>
      <c r="AI54" s="92">
        <v>11472.52</v>
      </c>
      <c r="AJ54" s="92">
        <v>22830.43</v>
      </c>
      <c r="AK54" s="92">
        <v>22830.43</v>
      </c>
      <c r="AL54" s="92">
        <v>151835.82</v>
      </c>
      <c r="AM54" s="92">
        <v>151835.82</v>
      </c>
      <c r="AN54" s="92">
        <v>387</v>
      </c>
      <c r="AO54" s="92">
        <v>387</v>
      </c>
      <c r="AP54" s="92">
        <v>183</v>
      </c>
      <c r="AQ54" s="92">
        <v>183</v>
      </c>
      <c r="AR54" s="76">
        <v>29997</v>
      </c>
      <c r="AS54" s="76">
        <v>29997</v>
      </c>
      <c r="AT54" s="76">
        <v>-674.98</v>
      </c>
      <c r="AU54" s="92">
        <v>10029.61</v>
      </c>
      <c r="AV54" s="92">
        <v>34442</v>
      </c>
      <c r="AW54" s="92">
        <v>34442</v>
      </c>
      <c r="AX54" s="92">
        <v>222</v>
      </c>
      <c r="AY54" s="92">
        <v>222</v>
      </c>
      <c r="AZ54" s="92">
        <v>76894</v>
      </c>
      <c r="BA54" s="92">
        <v>76894</v>
      </c>
      <c r="BB54" s="92">
        <v>32571</v>
      </c>
      <c r="BC54" s="92">
        <v>32571</v>
      </c>
      <c r="BD54" s="92">
        <v>232123.81</v>
      </c>
      <c r="BE54" s="92">
        <v>232123.81</v>
      </c>
      <c r="BF54" s="92">
        <v>6903</v>
      </c>
      <c r="BG54" s="92">
        <v>154285</v>
      </c>
      <c r="BH54" s="92">
        <v>162253</v>
      </c>
      <c r="BI54" s="92">
        <v>162253</v>
      </c>
      <c r="BJ54" s="92">
        <v>-684</v>
      </c>
      <c r="BK54" s="92">
        <v>4866</v>
      </c>
      <c r="BL54" s="68">
        <f t="shared" si="8"/>
        <v>1045045.3300000001</v>
      </c>
      <c r="BM54" s="68">
        <f t="shared" si="9"/>
        <v>1246572.92</v>
      </c>
    </row>
    <row r="55" spans="1:65" ht="15" customHeight="1" x14ac:dyDescent="0.25">
      <c r="A55" s="20" t="s">
        <v>302</v>
      </c>
      <c r="B55" s="92">
        <v>3970</v>
      </c>
      <c r="C55" s="92">
        <v>1200</v>
      </c>
      <c r="D55" s="92">
        <v>17730</v>
      </c>
      <c r="E55" s="92">
        <v>13136</v>
      </c>
      <c r="F55" s="76"/>
      <c r="G55" s="76"/>
      <c r="H55" s="92">
        <v>47428</v>
      </c>
      <c r="I55" s="92">
        <v>38012</v>
      </c>
      <c r="J55" s="92">
        <v>51499.66</v>
      </c>
      <c r="K55" s="92">
        <v>33461.199999999997</v>
      </c>
      <c r="L55" s="92">
        <v>1</v>
      </c>
      <c r="M55" s="92">
        <v>8126</v>
      </c>
      <c r="N55" s="76"/>
      <c r="O55" s="76"/>
      <c r="P55" s="92">
        <v>3780.48</v>
      </c>
      <c r="Q55" s="92">
        <v>3463.69</v>
      </c>
      <c r="R55" s="92">
        <v>9334.9</v>
      </c>
      <c r="S55" s="92">
        <v>8205</v>
      </c>
      <c r="T55" s="92">
        <v>3017</v>
      </c>
      <c r="U55" s="92">
        <v>3129</v>
      </c>
      <c r="V55" s="92">
        <v>-109394</v>
      </c>
      <c r="W55" s="92">
        <v>-61988</v>
      </c>
      <c r="X55" s="92">
        <v>116491</v>
      </c>
      <c r="Y55" s="92">
        <v>62961</v>
      </c>
      <c r="Z55" s="92"/>
      <c r="AA55" s="92">
        <v>20934</v>
      </c>
      <c r="AB55" s="92">
        <v>4015</v>
      </c>
      <c r="AC55" s="92">
        <v>2565</v>
      </c>
      <c r="AD55" s="92">
        <v>5801.92</v>
      </c>
      <c r="AE55" s="92">
        <v>4816.3599999999997</v>
      </c>
      <c r="AF55" s="92">
        <v>-2006.92</v>
      </c>
      <c r="AG55" s="92">
        <v>-1508.78</v>
      </c>
      <c r="AH55" s="92">
        <v>12914.08</v>
      </c>
      <c r="AI55" s="92">
        <v>9238.66</v>
      </c>
      <c r="AJ55" s="92">
        <v>28479.1</v>
      </c>
      <c r="AK55" s="92">
        <v>21865.119999999999</v>
      </c>
      <c r="AL55" s="92">
        <v>159226.57999999999</v>
      </c>
      <c r="AM55" s="92">
        <v>92019.24</v>
      </c>
      <c r="AN55" s="92">
        <v>-422</v>
      </c>
      <c r="AO55" s="92">
        <v>-379</v>
      </c>
      <c r="AP55" s="92">
        <v>147</v>
      </c>
      <c r="AQ55" s="92">
        <v>603</v>
      </c>
      <c r="AR55" s="76">
        <v>39308</v>
      </c>
      <c r="AS55" s="76">
        <v>29909</v>
      </c>
      <c r="AT55" s="76"/>
      <c r="AU55" s="92">
        <v>-9242.16</v>
      </c>
      <c r="AV55" s="92">
        <v>30856</v>
      </c>
      <c r="AW55" s="92">
        <v>24418</v>
      </c>
      <c r="AX55" s="92">
        <v>139</v>
      </c>
      <c r="AY55" s="92">
        <v>69</v>
      </c>
      <c r="AZ55" s="92">
        <v>133037</v>
      </c>
      <c r="BA55" s="92">
        <v>81368</v>
      </c>
      <c r="BB55" s="92">
        <v>36627</v>
      </c>
      <c r="BC55" s="92">
        <v>24807</v>
      </c>
      <c r="BD55" s="92">
        <v>235872.77</v>
      </c>
      <c r="BE55" s="92">
        <v>179216.71</v>
      </c>
      <c r="BF55" s="92">
        <v>0</v>
      </c>
      <c r="BG55" s="92">
        <v>100550</v>
      </c>
      <c r="BH55" s="92">
        <v>167381</v>
      </c>
      <c r="BI55" s="92">
        <v>135869</v>
      </c>
      <c r="BJ55" s="92"/>
      <c r="BK55" s="92">
        <v>3231</v>
      </c>
      <c r="BL55" s="68">
        <f t="shared" si="8"/>
        <v>995233.57000000007</v>
      </c>
      <c r="BM55" s="68">
        <f t="shared" si="9"/>
        <v>830055.04</v>
      </c>
    </row>
    <row r="56" spans="1:65" s="7" customFormat="1" x14ac:dyDescent="0.25">
      <c r="A56" s="3" t="s">
        <v>303</v>
      </c>
      <c r="B56" s="10">
        <v>7991</v>
      </c>
      <c r="C56" s="10">
        <v>14786</v>
      </c>
      <c r="D56" s="10">
        <v>18898</v>
      </c>
      <c r="E56" s="10">
        <v>43239</v>
      </c>
      <c r="F56" s="10"/>
      <c r="G56" s="10"/>
      <c r="H56" s="10">
        <v>44646</v>
      </c>
      <c r="I56" s="10">
        <v>97022</v>
      </c>
      <c r="J56" s="10">
        <v>37223.72</v>
      </c>
      <c r="K56" s="10">
        <v>85123.21</v>
      </c>
      <c r="L56" s="10">
        <v>13412</v>
      </c>
      <c r="M56" s="10">
        <v>36850</v>
      </c>
      <c r="N56" s="10"/>
      <c r="O56" s="10"/>
      <c r="P56" s="10">
        <v>2635.77</v>
      </c>
      <c r="Q56" s="10">
        <v>6084.5</v>
      </c>
      <c r="R56" s="10">
        <v>8323.26</v>
      </c>
      <c r="S56" s="10">
        <v>20747.55</v>
      </c>
      <c r="T56" s="10">
        <v>3545</v>
      </c>
      <c r="U56" s="10">
        <v>7190</v>
      </c>
      <c r="V56" s="10">
        <v>55612</v>
      </c>
      <c r="W56" s="10">
        <v>154735</v>
      </c>
      <c r="X56" s="10">
        <v>53514</v>
      </c>
      <c r="Y56" s="10">
        <v>164680</v>
      </c>
      <c r="Z56" s="10">
        <v>50168</v>
      </c>
      <c r="AA56" s="10">
        <v>97263</v>
      </c>
      <c r="AB56" s="10">
        <v>3287</v>
      </c>
      <c r="AC56" s="10">
        <v>7261</v>
      </c>
      <c r="AD56" s="10">
        <v>4795.38</v>
      </c>
      <c r="AE56" s="10">
        <v>10614.95</v>
      </c>
      <c r="AF56" s="10">
        <v>1577.48</v>
      </c>
      <c r="AG56" s="10">
        <v>3006.67</v>
      </c>
      <c r="AH56" s="10">
        <v>16506.400000000001</v>
      </c>
      <c r="AI56" s="10">
        <v>34847.43</v>
      </c>
      <c r="AJ56" s="10">
        <v>24106.83</v>
      </c>
      <c r="AK56" s="10">
        <v>54049.279999999999</v>
      </c>
      <c r="AL56" s="10">
        <v>174478.43</v>
      </c>
      <c r="AM56" s="10">
        <v>376326.35</v>
      </c>
      <c r="AN56" s="10">
        <v>118</v>
      </c>
      <c r="AO56" s="10">
        <v>256</v>
      </c>
      <c r="AP56" s="10">
        <v>110</v>
      </c>
      <c r="AQ56" s="10">
        <v>816</v>
      </c>
      <c r="AR56" s="10">
        <v>12488</v>
      </c>
      <c r="AS56" s="10">
        <v>43198</v>
      </c>
      <c r="AT56" s="10">
        <v>8203.2800000000007</v>
      </c>
      <c r="AU56" s="10">
        <v>15876.01</v>
      </c>
      <c r="AV56" s="10">
        <v>33642</v>
      </c>
      <c r="AW56" s="10">
        <v>64527</v>
      </c>
      <c r="AX56" s="10">
        <v>84</v>
      </c>
      <c r="AY56" s="10">
        <v>153</v>
      </c>
      <c r="AZ56" s="10">
        <v>205390</v>
      </c>
      <c r="BA56" s="10">
        <v>408334</v>
      </c>
      <c r="BB56" s="10">
        <v>20307</v>
      </c>
      <c r="BC56" s="10">
        <v>46418</v>
      </c>
      <c r="BD56" s="10">
        <v>400261.88</v>
      </c>
      <c r="BE56" s="10">
        <v>763418.92</v>
      </c>
      <c r="BF56" s="10">
        <v>214911</v>
      </c>
      <c r="BG56" s="10">
        <v>404200</v>
      </c>
      <c r="BH56" s="10">
        <v>182731</v>
      </c>
      <c r="BI56" s="10">
        <v>369059</v>
      </c>
      <c r="BJ56" s="10">
        <v>8729</v>
      </c>
      <c r="BK56" s="10">
        <v>15937</v>
      </c>
      <c r="BL56" s="63">
        <f t="shared" si="8"/>
        <v>1607695.4300000002</v>
      </c>
      <c r="BM56" s="63">
        <f t="shared" si="9"/>
        <v>3346018.87</v>
      </c>
    </row>
    <row r="57" spans="1:65" x14ac:dyDescent="0.25">
      <c r="A57" s="13"/>
    </row>
    <row r="58" spans="1:65" x14ac:dyDescent="0.25">
      <c r="A58" s="27" t="s">
        <v>187</v>
      </c>
    </row>
    <row r="59" spans="1:65" x14ac:dyDescent="0.25">
      <c r="A59" s="3" t="s">
        <v>0</v>
      </c>
      <c r="B59" s="147" t="s">
        <v>1</v>
      </c>
      <c r="C59" s="148"/>
      <c r="D59" s="147" t="s">
        <v>233</v>
      </c>
      <c r="E59" s="148"/>
      <c r="F59" s="147" t="s">
        <v>2</v>
      </c>
      <c r="G59" s="148"/>
      <c r="H59" s="147" t="s">
        <v>3</v>
      </c>
      <c r="I59" s="148"/>
      <c r="J59" s="147" t="s">
        <v>242</v>
      </c>
      <c r="K59" s="148"/>
      <c r="L59" s="147" t="s">
        <v>234</v>
      </c>
      <c r="M59" s="148"/>
      <c r="N59" s="147" t="s">
        <v>5</v>
      </c>
      <c r="O59" s="148"/>
      <c r="P59" s="147" t="s">
        <v>4</v>
      </c>
      <c r="Q59" s="148"/>
      <c r="R59" s="147" t="s">
        <v>6</v>
      </c>
      <c r="S59" s="148"/>
      <c r="T59" s="147" t="s">
        <v>254</v>
      </c>
      <c r="U59" s="148"/>
      <c r="V59" s="147" t="s">
        <v>7</v>
      </c>
      <c r="W59" s="148"/>
      <c r="X59" s="147" t="s">
        <v>8</v>
      </c>
      <c r="Y59" s="148"/>
      <c r="Z59" s="147" t="s">
        <v>9</v>
      </c>
      <c r="AA59" s="148"/>
      <c r="AB59" s="147" t="s">
        <v>241</v>
      </c>
      <c r="AC59" s="148"/>
      <c r="AD59" s="147" t="s">
        <v>10</v>
      </c>
      <c r="AE59" s="148"/>
      <c r="AF59" s="147" t="s">
        <v>11</v>
      </c>
      <c r="AG59" s="148"/>
      <c r="AH59" s="147" t="s">
        <v>235</v>
      </c>
      <c r="AI59" s="148"/>
      <c r="AJ59" s="147" t="s">
        <v>253</v>
      </c>
      <c r="AK59" s="148"/>
      <c r="AL59" s="147" t="s">
        <v>12</v>
      </c>
      <c r="AM59" s="148"/>
      <c r="AN59" s="147" t="s">
        <v>236</v>
      </c>
      <c r="AO59" s="148"/>
      <c r="AP59" s="147" t="s">
        <v>237</v>
      </c>
      <c r="AQ59" s="148"/>
      <c r="AR59" s="147" t="s">
        <v>240</v>
      </c>
      <c r="AS59" s="148"/>
      <c r="AT59" s="147" t="s">
        <v>13</v>
      </c>
      <c r="AU59" s="148"/>
      <c r="AV59" s="147" t="s">
        <v>14</v>
      </c>
      <c r="AW59" s="148"/>
      <c r="AX59" s="147" t="s">
        <v>15</v>
      </c>
      <c r="AY59" s="148"/>
      <c r="AZ59" s="147" t="s">
        <v>16</v>
      </c>
      <c r="BA59" s="148"/>
      <c r="BB59" s="147" t="s">
        <v>17</v>
      </c>
      <c r="BC59" s="148"/>
      <c r="BD59" s="147" t="s">
        <v>238</v>
      </c>
      <c r="BE59" s="148"/>
      <c r="BF59" s="147" t="s">
        <v>239</v>
      </c>
      <c r="BG59" s="148"/>
      <c r="BH59" s="147" t="s">
        <v>18</v>
      </c>
      <c r="BI59" s="148"/>
      <c r="BJ59" s="147" t="s">
        <v>19</v>
      </c>
      <c r="BK59" s="148"/>
      <c r="BL59" s="149" t="s">
        <v>20</v>
      </c>
      <c r="BM59" s="150"/>
    </row>
    <row r="60" spans="1:65" ht="30" x14ac:dyDescent="0.25">
      <c r="A60" s="3"/>
      <c r="B60" s="53" t="s">
        <v>243</v>
      </c>
      <c r="C60" s="54" t="s">
        <v>244</v>
      </c>
      <c r="D60" s="53" t="s">
        <v>243</v>
      </c>
      <c r="E60" s="54" t="s">
        <v>244</v>
      </c>
      <c r="F60" s="53" t="s">
        <v>243</v>
      </c>
      <c r="G60" s="54" t="s">
        <v>244</v>
      </c>
      <c r="H60" s="53" t="s">
        <v>243</v>
      </c>
      <c r="I60" s="54" t="s">
        <v>244</v>
      </c>
      <c r="J60" s="53" t="s">
        <v>243</v>
      </c>
      <c r="K60" s="54" t="s">
        <v>244</v>
      </c>
      <c r="L60" s="53" t="s">
        <v>243</v>
      </c>
      <c r="M60" s="54" t="s">
        <v>244</v>
      </c>
      <c r="N60" s="53" t="s">
        <v>243</v>
      </c>
      <c r="O60" s="54" t="s">
        <v>244</v>
      </c>
      <c r="P60" s="53" t="s">
        <v>243</v>
      </c>
      <c r="Q60" s="54" t="s">
        <v>244</v>
      </c>
      <c r="R60" s="53" t="s">
        <v>243</v>
      </c>
      <c r="S60" s="54" t="s">
        <v>244</v>
      </c>
      <c r="T60" s="53" t="s">
        <v>243</v>
      </c>
      <c r="U60" s="54" t="s">
        <v>244</v>
      </c>
      <c r="V60" s="53" t="s">
        <v>243</v>
      </c>
      <c r="W60" s="54" t="s">
        <v>244</v>
      </c>
      <c r="X60" s="53" t="s">
        <v>243</v>
      </c>
      <c r="Y60" s="54" t="s">
        <v>244</v>
      </c>
      <c r="Z60" s="53" t="s">
        <v>243</v>
      </c>
      <c r="AA60" s="54" t="s">
        <v>244</v>
      </c>
      <c r="AB60" s="53" t="s">
        <v>243</v>
      </c>
      <c r="AC60" s="54" t="s">
        <v>244</v>
      </c>
      <c r="AD60" s="53" t="s">
        <v>243</v>
      </c>
      <c r="AE60" s="54" t="s">
        <v>244</v>
      </c>
      <c r="AF60" s="53" t="s">
        <v>243</v>
      </c>
      <c r="AG60" s="54" t="s">
        <v>244</v>
      </c>
      <c r="AH60" s="53" t="s">
        <v>243</v>
      </c>
      <c r="AI60" s="54" t="s">
        <v>244</v>
      </c>
      <c r="AJ60" s="53" t="s">
        <v>243</v>
      </c>
      <c r="AK60" s="54" t="s">
        <v>244</v>
      </c>
      <c r="AL60" s="53" t="s">
        <v>243</v>
      </c>
      <c r="AM60" s="54" t="s">
        <v>244</v>
      </c>
      <c r="AN60" s="53" t="s">
        <v>243</v>
      </c>
      <c r="AO60" s="54" t="s">
        <v>244</v>
      </c>
      <c r="AP60" s="53" t="s">
        <v>243</v>
      </c>
      <c r="AQ60" s="54" t="s">
        <v>244</v>
      </c>
      <c r="AR60" s="53" t="s">
        <v>243</v>
      </c>
      <c r="AS60" s="54" t="s">
        <v>244</v>
      </c>
      <c r="AT60" s="53" t="s">
        <v>243</v>
      </c>
      <c r="AU60" s="54" t="s">
        <v>244</v>
      </c>
      <c r="AV60" s="53" t="s">
        <v>243</v>
      </c>
      <c r="AW60" s="54" t="s">
        <v>244</v>
      </c>
      <c r="AX60" s="53" t="s">
        <v>243</v>
      </c>
      <c r="AY60" s="54" t="s">
        <v>244</v>
      </c>
      <c r="AZ60" s="53" t="s">
        <v>243</v>
      </c>
      <c r="BA60" s="54" t="s">
        <v>244</v>
      </c>
      <c r="BB60" s="53" t="s">
        <v>243</v>
      </c>
      <c r="BC60" s="54" t="s">
        <v>244</v>
      </c>
      <c r="BD60" s="53" t="s">
        <v>243</v>
      </c>
      <c r="BE60" s="54" t="s">
        <v>244</v>
      </c>
      <c r="BF60" s="53" t="s">
        <v>243</v>
      </c>
      <c r="BG60" s="54" t="s">
        <v>244</v>
      </c>
      <c r="BH60" s="53" t="s">
        <v>243</v>
      </c>
      <c r="BI60" s="54" t="s">
        <v>244</v>
      </c>
      <c r="BJ60" s="53" t="s">
        <v>243</v>
      </c>
      <c r="BK60" s="54" t="s">
        <v>244</v>
      </c>
      <c r="BL60" s="105" t="s">
        <v>243</v>
      </c>
      <c r="BM60" s="106" t="s">
        <v>244</v>
      </c>
    </row>
    <row r="61" spans="1:65" x14ac:dyDescent="0.25">
      <c r="A61" s="20" t="s">
        <v>297</v>
      </c>
      <c r="B61" s="92">
        <v>52</v>
      </c>
      <c r="C61" s="92">
        <v>83</v>
      </c>
      <c r="D61" s="92">
        <v>268</v>
      </c>
      <c r="E61" s="92">
        <v>573</v>
      </c>
      <c r="F61" s="76"/>
      <c r="G61" s="76"/>
      <c r="H61" s="92">
        <v>2434</v>
      </c>
      <c r="I61" s="92">
        <v>4360</v>
      </c>
      <c r="J61" s="92">
        <v>1253.03</v>
      </c>
      <c r="K61" s="92">
        <v>1971.85</v>
      </c>
      <c r="L61" s="92">
        <v>1862</v>
      </c>
      <c r="M61" s="92">
        <v>2937</v>
      </c>
      <c r="N61" s="76"/>
      <c r="O61" s="76"/>
      <c r="P61" s="92">
        <v>74.81</v>
      </c>
      <c r="Q61" s="92">
        <v>106.08</v>
      </c>
      <c r="R61" s="92">
        <v>837.21</v>
      </c>
      <c r="S61" s="92">
        <v>1373.31</v>
      </c>
      <c r="T61" s="92">
        <v>75</v>
      </c>
      <c r="U61" s="92">
        <v>88</v>
      </c>
      <c r="V61" s="92">
        <v>4613</v>
      </c>
      <c r="W61" s="92">
        <v>7704</v>
      </c>
      <c r="X61" s="92">
        <v>3661</v>
      </c>
      <c r="Y61" s="92">
        <v>7334</v>
      </c>
      <c r="Z61" s="92">
        <v>1879</v>
      </c>
      <c r="AA61" s="92">
        <v>2937</v>
      </c>
      <c r="AB61" s="92">
        <v>145</v>
      </c>
      <c r="AC61" s="92">
        <v>248</v>
      </c>
      <c r="AD61" s="92">
        <v>415.69</v>
      </c>
      <c r="AE61" s="92">
        <v>604.04999999999995</v>
      </c>
      <c r="AF61" s="92">
        <v>59.82</v>
      </c>
      <c r="AG61" s="92">
        <v>103.31</v>
      </c>
      <c r="AH61" s="92">
        <v>52.9</v>
      </c>
      <c r="AI61" s="92">
        <v>68.73</v>
      </c>
      <c r="AJ61" s="92">
        <v>272.35000000000002</v>
      </c>
      <c r="AK61" s="92">
        <v>587.78</v>
      </c>
      <c r="AL61" s="92">
        <v>5700.78</v>
      </c>
      <c r="AM61" s="92">
        <v>9191.2999999999993</v>
      </c>
      <c r="AN61" s="92">
        <v>70</v>
      </c>
      <c r="AO61" s="92">
        <v>84</v>
      </c>
      <c r="AP61" s="92">
        <v>3</v>
      </c>
      <c r="AQ61" s="92">
        <v>314</v>
      </c>
      <c r="AR61" s="76">
        <v>555</v>
      </c>
      <c r="AS61" s="76">
        <v>1223</v>
      </c>
      <c r="AT61" s="92">
        <v>577.41999999999996</v>
      </c>
      <c r="AU61" s="92">
        <v>949.26</v>
      </c>
      <c r="AV61" s="92">
        <v>8066</v>
      </c>
      <c r="AW61" s="92">
        <v>12066</v>
      </c>
      <c r="AX61" s="92">
        <v>236</v>
      </c>
      <c r="AY61" s="92">
        <v>431</v>
      </c>
      <c r="AZ61" s="92">
        <v>1630</v>
      </c>
      <c r="BA61" s="92">
        <v>2871</v>
      </c>
      <c r="BB61" s="92">
        <v>1783</v>
      </c>
      <c r="BC61" s="92">
        <v>2890</v>
      </c>
      <c r="BD61" s="92">
        <v>35376.080000000002</v>
      </c>
      <c r="BE61" s="92">
        <v>64337.03</v>
      </c>
      <c r="BF61" s="92">
        <v>4813</v>
      </c>
      <c r="BG61" s="92">
        <v>8480</v>
      </c>
      <c r="BH61" s="92">
        <v>11596</v>
      </c>
      <c r="BI61" s="92">
        <v>21142</v>
      </c>
      <c r="BJ61" s="92">
        <v>3922</v>
      </c>
      <c r="BK61" s="92">
        <v>6780</v>
      </c>
      <c r="BL61" s="68">
        <f t="shared" ref="BL61:BL67" si="10">SUM(B61+D61+F61+H61+J61+L61+N61+P61+R61+T61+V61+X61+Z61+AB61+AD61+AF61+AH61+AJ61+AL61+AN61+AP61+AR61+AT61+AV61+AX61+AZ61+BB61+BD61+BF61+BH61+BJ61)</f>
        <v>92283.09</v>
      </c>
      <c r="BM61" s="68">
        <f t="shared" ref="BM61:BM67" si="11">SUM(C61+E61+G61+I61+K61+M61+O61+Q61+S61+U61+W61+Y61+AA61+AC61+AE61+AG61+AI61+AK61+AM61+AO61+AQ61+AS61+AU61+AW61+AY61+BA61+BC61+BE61+BG61+BI61+BK61)</f>
        <v>161837.70000000001</v>
      </c>
    </row>
    <row r="62" spans="1:65" x14ac:dyDescent="0.25">
      <c r="A62" s="20" t="s">
        <v>298</v>
      </c>
      <c r="B62" s="92"/>
      <c r="C62" s="92"/>
      <c r="D62" s="92"/>
      <c r="E62" s="92"/>
      <c r="F62" s="76"/>
      <c r="G62" s="76"/>
      <c r="H62" s="92"/>
      <c r="I62" s="92">
        <v>0</v>
      </c>
      <c r="J62" s="76"/>
      <c r="K62" s="76"/>
      <c r="L62" s="92"/>
      <c r="M62" s="92"/>
      <c r="N62" s="76"/>
      <c r="O62" s="76"/>
      <c r="P62" s="92">
        <v>15.72</v>
      </c>
      <c r="Q62" s="92">
        <v>15.72</v>
      </c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76"/>
      <c r="AE62" s="76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76"/>
      <c r="AS62" s="76"/>
      <c r="AT62" s="92">
        <v>151.66</v>
      </c>
      <c r="AU62" s="92">
        <v>151.66</v>
      </c>
      <c r="AV62" s="92"/>
      <c r="AW62" s="92"/>
      <c r="AX62" s="92"/>
      <c r="AY62" s="92"/>
      <c r="AZ62" s="92"/>
      <c r="BA62" s="92"/>
      <c r="BB62" s="92">
        <v>23</v>
      </c>
      <c r="BC62" s="92">
        <v>23</v>
      </c>
      <c r="BD62" s="92">
        <v>162.21</v>
      </c>
      <c r="BE62" s="92">
        <v>258.01</v>
      </c>
      <c r="BF62" s="92">
        <v>0</v>
      </c>
      <c r="BG62" s="92">
        <v>50</v>
      </c>
      <c r="BH62" s="92">
        <v>0</v>
      </c>
      <c r="BI62" s="92">
        <v>44</v>
      </c>
      <c r="BJ62" s="92"/>
      <c r="BK62" s="92"/>
      <c r="BL62" s="68">
        <f t="shared" si="10"/>
        <v>352.59000000000003</v>
      </c>
      <c r="BM62" s="68">
        <f t="shared" si="11"/>
        <v>542.39</v>
      </c>
    </row>
    <row r="63" spans="1:65" x14ac:dyDescent="0.25">
      <c r="A63" s="20" t="s">
        <v>299</v>
      </c>
      <c r="B63" s="92">
        <v>3</v>
      </c>
      <c r="C63" s="92">
        <v>4</v>
      </c>
      <c r="D63" s="92">
        <v>13</v>
      </c>
      <c r="E63" s="92">
        <v>43</v>
      </c>
      <c r="F63" s="76"/>
      <c r="G63" s="76"/>
      <c r="H63" s="92">
        <v>-186</v>
      </c>
      <c r="I63" s="92">
        <v>-309</v>
      </c>
      <c r="J63" s="92">
        <v>195.05</v>
      </c>
      <c r="K63" s="92">
        <v>316.39</v>
      </c>
      <c r="L63" s="92">
        <v>472</v>
      </c>
      <c r="M63" s="92">
        <v>712</v>
      </c>
      <c r="N63" s="76"/>
      <c r="O63" s="76"/>
      <c r="P63" s="92">
        <v>67.459999999999994</v>
      </c>
      <c r="Q63" s="92">
        <v>69.02</v>
      </c>
      <c r="R63" s="92">
        <v>82.21</v>
      </c>
      <c r="S63" s="92">
        <v>159.35</v>
      </c>
      <c r="T63" s="92">
        <v>4</v>
      </c>
      <c r="U63" s="92">
        <v>4</v>
      </c>
      <c r="V63" s="92">
        <v>-1218</v>
      </c>
      <c r="W63" s="92">
        <v>-2384</v>
      </c>
      <c r="X63" s="92">
        <v>244</v>
      </c>
      <c r="Y63" s="92">
        <v>692</v>
      </c>
      <c r="Z63" s="92">
        <v>174</v>
      </c>
      <c r="AA63" s="92">
        <v>265</v>
      </c>
      <c r="AB63" s="92">
        <v>95</v>
      </c>
      <c r="AC63" s="92">
        <v>154</v>
      </c>
      <c r="AD63" s="92">
        <v>20.77</v>
      </c>
      <c r="AE63" s="92">
        <v>48.11</v>
      </c>
      <c r="AF63" s="92">
        <v>-3</v>
      </c>
      <c r="AG63" s="92">
        <v>-5.17</v>
      </c>
      <c r="AH63" s="92">
        <v>2.84</v>
      </c>
      <c r="AI63" s="92">
        <v>3.83</v>
      </c>
      <c r="AJ63" s="92">
        <v>35.54</v>
      </c>
      <c r="AK63" s="92">
        <v>218.5</v>
      </c>
      <c r="AL63" s="92">
        <v>381.77</v>
      </c>
      <c r="AM63" s="92">
        <v>687.8</v>
      </c>
      <c r="AN63" s="92">
        <v>-35</v>
      </c>
      <c r="AO63" s="92">
        <v>-40</v>
      </c>
      <c r="AP63" s="92">
        <v>2</v>
      </c>
      <c r="AQ63" s="92">
        <v>240</v>
      </c>
      <c r="AR63" s="76">
        <v>176</v>
      </c>
      <c r="AS63" s="76">
        <v>377</v>
      </c>
      <c r="AT63" s="92">
        <v>-235.34</v>
      </c>
      <c r="AU63" s="92">
        <v>-273.58999999999997</v>
      </c>
      <c r="AV63" s="92">
        <v>436</v>
      </c>
      <c r="AW63" s="92">
        <v>642</v>
      </c>
      <c r="AX63" s="92">
        <v>168</v>
      </c>
      <c r="AY63" s="92">
        <v>339</v>
      </c>
      <c r="AZ63" s="92">
        <v>225</v>
      </c>
      <c r="BA63" s="92">
        <v>94</v>
      </c>
      <c r="BB63" s="92">
        <v>91</v>
      </c>
      <c r="BC63" s="92">
        <v>148</v>
      </c>
      <c r="BD63" s="92">
        <v>1786.42</v>
      </c>
      <c r="BE63" s="92">
        <v>3288.6</v>
      </c>
      <c r="BF63" s="92">
        <v>446</v>
      </c>
      <c r="BG63" s="92">
        <v>847</v>
      </c>
      <c r="BH63" s="92">
        <v>6837</v>
      </c>
      <c r="BI63" s="92">
        <v>12647</v>
      </c>
      <c r="BJ63" s="92">
        <v>1359</v>
      </c>
      <c r="BK63" s="92">
        <v>1770</v>
      </c>
      <c r="BL63" s="68">
        <f t="shared" si="10"/>
        <v>11639.720000000001</v>
      </c>
      <c r="BM63" s="68">
        <f t="shared" si="11"/>
        <v>20757.84</v>
      </c>
    </row>
    <row r="64" spans="1:65" s="7" customFormat="1" x14ac:dyDescent="0.25">
      <c r="A64" s="3" t="s">
        <v>300</v>
      </c>
      <c r="B64" s="10">
        <v>49</v>
      </c>
      <c r="C64" s="10">
        <v>79</v>
      </c>
      <c r="D64" s="10">
        <v>254</v>
      </c>
      <c r="E64" s="10">
        <v>530</v>
      </c>
      <c r="F64" s="10"/>
      <c r="G64" s="10"/>
      <c r="H64" s="10">
        <v>2248</v>
      </c>
      <c r="I64" s="10">
        <v>4051</v>
      </c>
      <c r="J64" s="10"/>
      <c r="K64" s="10"/>
      <c r="L64" s="10">
        <v>1390</v>
      </c>
      <c r="M64" s="10">
        <v>2225</v>
      </c>
      <c r="N64" s="10"/>
      <c r="O64" s="10"/>
      <c r="P64" s="10">
        <v>23.07</v>
      </c>
      <c r="Q64" s="10">
        <v>52.78</v>
      </c>
      <c r="R64" s="10">
        <v>755</v>
      </c>
      <c r="S64" s="10">
        <v>1213.95</v>
      </c>
      <c r="T64" s="10">
        <v>71</v>
      </c>
      <c r="U64" s="10">
        <v>83</v>
      </c>
      <c r="V64" s="10">
        <v>3395</v>
      </c>
      <c r="W64" s="10">
        <v>5320</v>
      </c>
      <c r="X64" s="10">
        <v>3417</v>
      </c>
      <c r="Y64" s="10">
        <v>6642</v>
      </c>
      <c r="Z64" s="10">
        <v>1705</v>
      </c>
      <c r="AA64" s="10">
        <v>2672</v>
      </c>
      <c r="AB64" s="10">
        <v>50</v>
      </c>
      <c r="AC64" s="10">
        <v>94</v>
      </c>
      <c r="AD64" s="10"/>
      <c r="AE64" s="10"/>
      <c r="AF64" s="10">
        <v>56.82</v>
      </c>
      <c r="AG64" s="10">
        <v>98.14</v>
      </c>
      <c r="AH64" s="10">
        <v>50.06</v>
      </c>
      <c r="AI64" s="10">
        <v>64.91</v>
      </c>
      <c r="AJ64" s="10">
        <v>236.81</v>
      </c>
      <c r="AK64" s="10">
        <v>369.28</v>
      </c>
      <c r="AL64" s="10">
        <v>5319.01</v>
      </c>
      <c r="AM64" s="10">
        <v>8503.52</v>
      </c>
      <c r="AN64" s="10">
        <v>35</v>
      </c>
      <c r="AO64" s="10">
        <v>44</v>
      </c>
      <c r="AP64" s="10">
        <v>1</v>
      </c>
      <c r="AQ64" s="10">
        <v>75</v>
      </c>
      <c r="AR64" s="10">
        <v>379</v>
      </c>
      <c r="AS64" s="10">
        <v>846</v>
      </c>
      <c r="AT64" s="10"/>
      <c r="AU64" s="10"/>
      <c r="AV64" s="10">
        <v>7630</v>
      </c>
      <c r="AW64" s="10">
        <v>11424</v>
      </c>
      <c r="AX64" s="10">
        <v>68</v>
      </c>
      <c r="AY64" s="10">
        <v>91</v>
      </c>
      <c r="AZ64" s="10">
        <v>1405</v>
      </c>
      <c r="BA64" s="10">
        <v>2777</v>
      </c>
      <c r="BB64" s="10">
        <v>1716</v>
      </c>
      <c r="BC64" s="10">
        <v>2766</v>
      </c>
      <c r="BD64" s="10"/>
      <c r="BE64" s="10"/>
      <c r="BF64" s="10">
        <v>4367</v>
      </c>
      <c r="BG64" s="10">
        <v>7683</v>
      </c>
      <c r="BH64" s="10">
        <v>4760</v>
      </c>
      <c r="BI64" s="10">
        <v>8539</v>
      </c>
      <c r="BJ64" s="10">
        <v>2563</v>
      </c>
      <c r="BK64" s="10">
        <v>5010</v>
      </c>
      <c r="BL64" s="63">
        <f t="shared" si="10"/>
        <v>41943.77</v>
      </c>
      <c r="BM64" s="63">
        <f t="shared" si="11"/>
        <v>71253.58</v>
      </c>
    </row>
    <row r="65" spans="1:65" x14ac:dyDescent="0.25">
      <c r="A65" s="20" t="s">
        <v>301</v>
      </c>
      <c r="B65" s="92">
        <v>109</v>
      </c>
      <c r="C65" s="92">
        <v>109</v>
      </c>
      <c r="D65" s="92">
        <v>2784</v>
      </c>
      <c r="E65" s="92">
        <v>2784</v>
      </c>
      <c r="F65" s="76"/>
      <c r="G65" s="76"/>
      <c r="H65" s="92">
        <v>13563</v>
      </c>
      <c r="I65" s="92">
        <v>13563</v>
      </c>
      <c r="J65" s="92">
        <v>5087.49</v>
      </c>
      <c r="K65" s="92">
        <v>5087.49</v>
      </c>
      <c r="L65" s="92">
        <v>172</v>
      </c>
      <c r="M65" s="92">
        <v>3974</v>
      </c>
      <c r="N65" s="76"/>
      <c r="O65" s="76"/>
      <c r="P65" s="92">
        <v>90.5</v>
      </c>
      <c r="Q65" s="92">
        <v>90.5</v>
      </c>
      <c r="R65" s="92">
        <v>3221.94</v>
      </c>
      <c r="S65" s="92">
        <v>3221.94</v>
      </c>
      <c r="T65" s="92">
        <v>1458</v>
      </c>
      <c r="U65" s="92">
        <v>1458</v>
      </c>
      <c r="V65" s="92">
        <v>26696</v>
      </c>
      <c r="W65" s="92">
        <v>26696</v>
      </c>
      <c r="X65" s="92">
        <v>25664</v>
      </c>
      <c r="Y65" s="92">
        <v>25664</v>
      </c>
      <c r="Z65" s="92">
        <v>449</v>
      </c>
      <c r="AA65" s="92">
        <v>5059</v>
      </c>
      <c r="AB65" s="92">
        <v>346</v>
      </c>
      <c r="AC65" s="92">
        <v>346</v>
      </c>
      <c r="AD65" s="92">
        <v>1460.57</v>
      </c>
      <c r="AE65" s="92">
        <v>1460.57</v>
      </c>
      <c r="AF65" s="92">
        <v>385.34</v>
      </c>
      <c r="AG65" s="92">
        <v>385.34</v>
      </c>
      <c r="AH65" s="92">
        <v>477.7</v>
      </c>
      <c r="AI65" s="92">
        <v>477.7</v>
      </c>
      <c r="AJ65" s="92">
        <v>1124.02</v>
      </c>
      <c r="AK65" s="92">
        <v>1124.02</v>
      </c>
      <c r="AL65" s="92">
        <v>32228.240000000002</v>
      </c>
      <c r="AM65" s="92">
        <v>32228.240000000002</v>
      </c>
      <c r="AN65" s="92">
        <v>275</v>
      </c>
      <c r="AO65" s="92">
        <v>275</v>
      </c>
      <c r="AP65" s="92">
        <v>4</v>
      </c>
      <c r="AQ65" s="92">
        <v>4</v>
      </c>
      <c r="AR65" s="76">
        <v>5109</v>
      </c>
      <c r="AS65" s="76">
        <v>5109</v>
      </c>
      <c r="AT65" s="76">
        <v>-34.369999999999997</v>
      </c>
      <c r="AU65" s="92">
        <v>3238.62</v>
      </c>
      <c r="AV65" s="92">
        <v>52685</v>
      </c>
      <c r="AW65" s="92">
        <v>52685</v>
      </c>
      <c r="AX65" s="92">
        <v>674</v>
      </c>
      <c r="AY65" s="92">
        <v>674</v>
      </c>
      <c r="AZ65" s="92">
        <v>3772</v>
      </c>
      <c r="BA65" s="92">
        <v>3772</v>
      </c>
      <c r="BB65" s="92">
        <v>8725</v>
      </c>
      <c r="BC65" s="92">
        <v>8725</v>
      </c>
      <c r="BD65" s="92">
        <v>41921.42</v>
      </c>
      <c r="BE65" s="92">
        <v>41921.42</v>
      </c>
      <c r="BF65" s="92">
        <v>2299</v>
      </c>
      <c r="BG65" s="92">
        <v>20829</v>
      </c>
      <c r="BH65" s="92">
        <v>30742</v>
      </c>
      <c r="BI65" s="92">
        <v>30742</v>
      </c>
      <c r="BJ65" s="92">
        <v>-1009</v>
      </c>
      <c r="BK65" s="92">
        <v>8617</v>
      </c>
      <c r="BL65" s="68">
        <f t="shared" si="10"/>
        <v>260479.84999999998</v>
      </c>
      <c r="BM65" s="68">
        <f t="shared" si="11"/>
        <v>300320.84000000003</v>
      </c>
    </row>
    <row r="66" spans="1:65" ht="15" customHeight="1" x14ac:dyDescent="0.25">
      <c r="A66" s="20" t="s">
        <v>302</v>
      </c>
      <c r="B66" s="92">
        <v>79</v>
      </c>
      <c r="C66" s="92">
        <v>66</v>
      </c>
      <c r="D66" s="92">
        <v>2984</v>
      </c>
      <c r="E66" s="92">
        <v>3080</v>
      </c>
      <c r="F66" s="76"/>
      <c r="G66" s="76"/>
      <c r="H66" s="92">
        <v>13398</v>
      </c>
      <c r="I66" s="92">
        <v>13066</v>
      </c>
      <c r="J66" s="92">
        <v>5354.47</v>
      </c>
      <c r="K66" s="92">
        <v>4926.88</v>
      </c>
      <c r="L66" s="92">
        <v>1</v>
      </c>
      <c r="M66" s="92">
        <v>3609</v>
      </c>
      <c r="N66" s="76"/>
      <c r="O66" s="76"/>
      <c r="P66" s="92">
        <v>74.73</v>
      </c>
      <c r="Q66" s="92">
        <v>78.39</v>
      </c>
      <c r="R66" s="92">
        <v>2653.62</v>
      </c>
      <c r="S66" s="92">
        <v>3054.96</v>
      </c>
      <c r="T66" s="92">
        <v>372</v>
      </c>
      <c r="U66" s="92">
        <v>502</v>
      </c>
      <c r="V66" s="92">
        <v>-24858</v>
      </c>
      <c r="W66" s="92">
        <v>-22724</v>
      </c>
      <c r="X66" s="92">
        <v>25108</v>
      </c>
      <c r="Y66" s="92">
        <v>22584</v>
      </c>
      <c r="Z66" s="92"/>
      <c r="AA66" s="92">
        <v>3922</v>
      </c>
      <c r="AB66" s="92">
        <v>281</v>
      </c>
      <c r="AC66" s="92">
        <v>410</v>
      </c>
      <c r="AD66" s="92">
        <v>1618.27</v>
      </c>
      <c r="AE66" s="92">
        <v>1532.51</v>
      </c>
      <c r="AF66" s="92">
        <v>-346.24</v>
      </c>
      <c r="AG66" s="92">
        <v>-357.79</v>
      </c>
      <c r="AH66" s="92">
        <v>455.35</v>
      </c>
      <c r="AI66" s="92">
        <v>457.85</v>
      </c>
      <c r="AJ66" s="92">
        <v>891.17</v>
      </c>
      <c r="AK66" s="92">
        <v>1253.22</v>
      </c>
      <c r="AL66" s="92">
        <v>22798.76</v>
      </c>
      <c r="AM66" s="92">
        <v>22300.6</v>
      </c>
      <c r="AN66" s="92">
        <v>-313</v>
      </c>
      <c r="AO66" s="92">
        <v>-261</v>
      </c>
      <c r="AP66" s="92">
        <v>4</v>
      </c>
      <c r="AQ66" s="92">
        <v>17</v>
      </c>
      <c r="AR66" s="76">
        <v>4645</v>
      </c>
      <c r="AS66" s="76">
        <v>3950</v>
      </c>
      <c r="AT66" s="76"/>
      <c r="AU66" s="92">
        <v>-3293.13</v>
      </c>
      <c r="AV66" s="92">
        <v>51058</v>
      </c>
      <c r="AW66" s="92">
        <v>46226</v>
      </c>
      <c r="AX66" s="92">
        <v>525</v>
      </c>
      <c r="AY66" s="92">
        <v>461</v>
      </c>
      <c r="AZ66" s="92">
        <v>3528</v>
      </c>
      <c r="BA66" s="92">
        <v>3593</v>
      </c>
      <c r="BB66" s="92">
        <v>8301</v>
      </c>
      <c r="BC66" s="92">
        <v>8454</v>
      </c>
      <c r="BD66" s="92">
        <v>36638.550000000003</v>
      </c>
      <c r="BE66" s="92">
        <v>29896.58</v>
      </c>
      <c r="BF66" s="92">
        <v>0</v>
      </c>
      <c r="BG66" s="92">
        <v>17696</v>
      </c>
      <c r="BH66" s="92">
        <v>27164</v>
      </c>
      <c r="BI66" s="92">
        <v>27780</v>
      </c>
      <c r="BJ66" s="92"/>
      <c r="BK66" s="92">
        <v>12587</v>
      </c>
      <c r="BL66" s="68">
        <f t="shared" si="10"/>
        <v>182415.68</v>
      </c>
      <c r="BM66" s="68">
        <f t="shared" si="11"/>
        <v>204868.07</v>
      </c>
    </row>
    <row r="67" spans="1:65" s="7" customFormat="1" x14ac:dyDescent="0.25">
      <c r="A67" s="3" t="s">
        <v>303</v>
      </c>
      <c r="B67" s="10">
        <v>79</v>
      </c>
      <c r="C67" s="10">
        <v>122</v>
      </c>
      <c r="D67" s="10">
        <v>53</v>
      </c>
      <c r="E67" s="10">
        <v>234</v>
      </c>
      <c r="F67" s="10"/>
      <c r="G67" s="10"/>
      <c r="H67" s="10">
        <v>2413</v>
      </c>
      <c r="I67" s="10">
        <v>4548</v>
      </c>
      <c r="J67" s="10">
        <v>791</v>
      </c>
      <c r="K67" s="10">
        <v>1816.07</v>
      </c>
      <c r="L67" s="10">
        <v>1561</v>
      </c>
      <c r="M67" s="10">
        <v>2590</v>
      </c>
      <c r="N67" s="10"/>
      <c r="O67" s="10"/>
      <c r="P67" s="10">
        <v>38.840000000000003</v>
      </c>
      <c r="Q67" s="10">
        <v>64.89</v>
      </c>
      <c r="R67" s="10">
        <v>1323.32</v>
      </c>
      <c r="S67" s="10">
        <v>1380.93</v>
      </c>
      <c r="T67" s="10">
        <v>1158</v>
      </c>
      <c r="U67" s="10">
        <v>1040</v>
      </c>
      <c r="V67" s="10">
        <v>5233</v>
      </c>
      <c r="W67" s="10">
        <v>9292</v>
      </c>
      <c r="X67" s="10">
        <v>3973</v>
      </c>
      <c r="Y67" s="10">
        <v>8058</v>
      </c>
      <c r="Z67" s="10">
        <v>2154</v>
      </c>
      <c r="AA67" s="10">
        <v>3810</v>
      </c>
      <c r="AB67" s="10">
        <v>115</v>
      </c>
      <c r="AC67" s="10">
        <v>29</v>
      </c>
      <c r="AD67" s="10">
        <v>245.11</v>
      </c>
      <c r="AE67" s="10">
        <v>505.53</v>
      </c>
      <c r="AF67" s="10">
        <v>95.92</v>
      </c>
      <c r="AG67" s="10">
        <v>125.69</v>
      </c>
      <c r="AH67" s="10">
        <v>72.41</v>
      </c>
      <c r="AI67" s="10">
        <v>84.76</v>
      </c>
      <c r="AJ67" s="10">
        <v>469.66</v>
      </c>
      <c r="AK67" s="10">
        <v>240.08</v>
      </c>
      <c r="AL67" s="10">
        <v>14748.49</v>
      </c>
      <c r="AM67" s="10">
        <v>18431.150000000001</v>
      </c>
      <c r="AN67" s="10">
        <v>-3</v>
      </c>
      <c r="AO67" s="10">
        <v>58</v>
      </c>
      <c r="AP67" s="10">
        <v>1</v>
      </c>
      <c r="AQ67" s="10">
        <v>62</v>
      </c>
      <c r="AR67" s="10">
        <v>843</v>
      </c>
      <c r="AS67" s="10">
        <v>2004</v>
      </c>
      <c r="AT67" s="10">
        <v>569.42999999999995</v>
      </c>
      <c r="AU67" s="10">
        <v>880.42</v>
      </c>
      <c r="AV67" s="10">
        <v>9257</v>
      </c>
      <c r="AW67" s="10">
        <v>17883</v>
      </c>
      <c r="AX67" s="10">
        <v>218</v>
      </c>
      <c r="AY67" s="10">
        <v>305</v>
      </c>
      <c r="AZ67" s="10">
        <v>1649</v>
      </c>
      <c r="BA67" s="10">
        <v>2956</v>
      </c>
      <c r="BB67" s="10">
        <v>2140</v>
      </c>
      <c r="BC67" s="10">
        <v>3037</v>
      </c>
      <c r="BD67" s="10">
        <v>38925.83</v>
      </c>
      <c r="BE67" s="10">
        <v>72782.75</v>
      </c>
      <c r="BF67" s="10">
        <v>6666</v>
      </c>
      <c r="BG67" s="10">
        <v>10816</v>
      </c>
      <c r="BH67" s="10">
        <v>8338</v>
      </c>
      <c r="BI67" s="10">
        <v>11501</v>
      </c>
      <c r="BJ67" s="10">
        <v>1554</v>
      </c>
      <c r="BK67" s="10">
        <v>1041</v>
      </c>
      <c r="BL67" s="63">
        <f t="shared" si="10"/>
        <v>104682.01000000001</v>
      </c>
      <c r="BM67" s="63">
        <f t="shared" si="11"/>
        <v>175698.27000000002</v>
      </c>
    </row>
    <row r="68" spans="1:65" x14ac:dyDescent="0.25">
      <c r="A68" s="13"/>
    </row>
    <row r="69" spans="1:65" x14ac:dyDescent="0.25">
      <c r="A69" s="27" t="s">
        <v>246</v>
      </c>
    </row>
    <row r="70" spans="1:65" x14ac:dyDescent="0.25">
      <c r="A70" s="3" t="s">
        <v>0</v>
      </c>
      <c r="B70" s="147" t="s">
        <v>1</v>
      </c>
      <c r="C70" s="148"/>
      <c r="D70" s="147" t="s">
        <v>233</v>
      </c>
      <c r="E70" s="148"/>
      <c r="F70" s="147" t="s">
        <v>2</v>
      </c>
      <c r="G70" s="148"/>
      <c r="H70" s="147" t="s">
        <v>3</v>
      </c>
      <c r="I70" s="148"/>
      <c r="J70" s="147" t="s">
        <v>242</v>
      </c>
      <c r="K70" s="148"/>
      <c r="L70" s="147" t="s">
        <v>234</v>
      </c>
      <c r="M70" s="148"/>
      <c r="N70" s="147" t="s">
        <v>5</v>
      </c>
      <c r="O70" s="148"/>
      <c r="P70" s="147" t="s">
        <v>4</v>
      </c>
      <c r="Q70" s="148"/>
      <c r="R70" s="147" t="s">
        <v>6</v>
      </c>
      <c r="S70" s="148"/>
      <c r="T70" s="147" t="s">
        <v>254</v>
      </c>
      <c r="U70" s="148"/>
      <c r="V70" s="147" t="s">
        <v>7</v>
      </c>
      <c r="W70" s="148"/>
      <c r="X70" s="147" t="s">
        <v>8</v>
      </c>
      <c r="Y70" s="148"/>
      <c r="Z70" s="147" t="s">
        <v>9</v>
      </c>
      <c r="AA70" s="148"/>
      <c r="AB70" s="147" t="s">
        <v>241</v>
      </c>
      <c r="AC70" s="148"/>
      <c r="AD70" s="147" t="s">
        <v>10</v>
      </c>
      <c r="AE70" s="148"/>
      <c r="AF70" s="147" t="s">
        <v>11</v>
      </c>
      <c r="AG70" s="148"/>
      <c r="AH70" s="147" t="s">
        <v>235</v>
      </c>
      <c r="AI70" s="148"/>
      <c r="AJ70" s="147" t="s">
        <v>253</v>
      </c>
      <c r="AK70" s="148"/>
      <c r="AL70" s="147" t="s">
        <v>12</v>
      </c>
      <c r="AM70" s="148"/>
      <c r="AN70" s="147" t="s">
        <v>236</v>
      </c>
      <c r="AO70" s="148"/>
      <c r="AP70" s="147" t="s">
        <v>237</v>
      </c>
      <c r="AQ70" s="148"/>
      <c r="AR70" s="147" t="s">
        <v>240</v>
      </c>
      <c r="AS70" s="148"/>
      <c r="AT70" s="147" t="s">
        <v>13</v>
      </c>
      <c r="AU70" s="148"/>
      <c r="AV70" s="147" t="s">
        <v>14</v>
      </c>
      <c r="AW70" s="148"/>
      <c r="AX70" s="147" t="s">
        <v>15</v>
      </c>
      <c r="AY70" s="148"/>
      <c r="AZ70" s="147" t="s">
        <v>16</v>
      </c>
      <c r="BA70" s="148"/>
      <c r="BB70" s="147" t="s">
        <v>17</v>
      </c>
      <c r="BC70" s="148"/>
      <c r="BD70" s="147" t="s">
        <v>238</v>
      </c>
      <c r="BE70" s="148"/>
      <c r="BF70" s="147" t="s">
        <v>239</v>
      </c>
      <c r="BG70" s="148"/>
      <c r="BH70" s="147" t="s">
        <v>18</v>
      </c>
      <c r="BI70" s="148"/>
      <c r="BJ70" s="147" t="s">
        <v>19</v>
      </c>
      <c r="BK70" s="148"/>
      <c r="BL70" s="149" t="s">
        <v>20</v>
      </c>
      <c r="BM70" s="150"/>
    </row>
    <row r="71" spans="1:65" ht="30" x14ac:dyDescent="0.25">
      <c r="A71" s="3"/>
      <c r="B71" s="53" t="s">
        <v>243</v>
      </c>
      <c r="C71" s="54" t="s">
        <v>244</v>
      </c>
      <c r="D71" s="53" t="s">
        <v>243</v>
      </c>
      <c r="E71" s="54" t="s">
        <v>244</v>
      </c>
      <c r="F71" s="53" t="s">
        <v>243</v>
      </c>
      <c r="G71" s="54" t="s">
        <v>244</v>
      </c>
      <c r="H71" s="53" t="s">
        <v>243</v>
      </c>
      <c r="I71" s="54" t="s">
        <v>244</v>
      </c>
      <c r="J71" s="53" t="s">
        <v>243</v>
      </c>
      <c r="K71" s="54" t="s">
        <v>244</v>
      </c>
      <c r="L71" s="53" t="s">
        <v>243</v>
      </c>
      <c r="M71" s="54" t="s">
        <v>244</v>
      </c>
      <c r="N71" s="53" t="s">
        <v>243</v>
      </c>
      <c r="O71" s="54" t="s">
        <v>244</v>
      </c>
      <c r="P71" s="53" t="s">
        <v>243</v>
      </c>
      <c r="Q71" s="54" t="s">
        <v>244</v>
      </c>
      <c r="R71" s="53" t="s">
        <v>243</v>
      </c>
      <c r="S71" s="54" t="s">
        <v>244</v>
      </c>
      <c r="T71" s="53" t="s">
        <v>243</v>
      </c>
      <c r="U71" s="54" t="s">
        <v>244</v>
      </c>
      <c r="V71" s="53" t="s">
        <v>243</v>
      </c>
      <c r="W71" s="54" t="s">
        <v>244</v>
      </c>
      <c r="X71" s="53" t="s">
        <v>243</v>
      </c>
      <c r="Y71" s="54" t="s">
        <v>244</v>
      </c>
      <c r="Z71" s="53" t="s">
        <v>243</v>
      </c>
      <c r="AA71" s="54" t="s">
        <v>244</v>
      </c>
      <c r="AB71" s="53" t="s">
        <v>243</v>
      </c>
      <c r="AC71" s="54" t="s">
        <v>244</v>
      </c>
      <c r="AD71" s="53" t="s">
        <v>243</v>
      </c>
      <c r="AE71" s="54" t="s">
        <v>244</v>
      </c>
      <c r="AF71" s="53" t="s">
        <v>243</v>
      </c>
      <c r="AG71" s="54" t="s">
        <v>244</v>
      </c>
      <c r="AH71" s="53" t="s">
        <v>243</v>
      </c>
      <c r="AI71" s="54" t="s">
        <v>244</v>
      </c>
      <c r="AJ71" s="53" t="s">
        <v>243</v>
      </c>
      <c r="AK71" s="54" t="s">
        <v>244</v>
      </c>
      <c r="AL71" s="53" t="s">
        <v>243</v>
      </c>
      <c r="AM71" s="54" t="s">
        <v>244</v>
      </c>
      <c r="AN71" s="53" t="s">
        <v>243</v>
      </c>
      <c r="AO71" s="54" t="s">
        <v>244</v>
      </c>
      <c r="AP71" s="53" t="s">
        <v>243</v>
      </c>
      <c r="AQ71" s="54" t="s">
        <v>244</v>
      </c>
      <c r="AR71" s="53" t="s">
        <v>243</v>
      </c>
      <c r="AS71" s="54" t="s">
        <v>244</v>
      </c>
      <c r="AT71" s="53" t="s">
        <v>243</v>
      </c>
      <c r="AU71" s="54" t="s">
        <v>244</v>
      </c>
      <c r="AV71" s="53" t="s">
        <v>243</v>
      </c>
      <c r="AW71" s="54" t="s">
        <v>244</v>
      </c>
      <c r="AX71" s="53" t="s">
        <v>243</v>
      </c>
      <c r="AY71" s="54" t="s">
        <v>244</v>
      </c>
      <c r="AZ71" s="53" t="s">
        <v>243</v>
      </c>
      <c r="BA71" s="54" t="s">
        <v>244</v>
      </c>
      <c r="BB71" s="53" t="s">
        <v>243</v>
      </c>
      <c r="BC71" s="54" t="s">
        <v>244</v>
      </c>
      <c r="BD71" s="53" t="s">
        <v>243</v>
      </c>
      <c r="BE71" s="54" t="s">
        <v>244</v>
      </c>
      <c r="BF71" s="53" t="s">
        <v>243</v>
      </c>
      <c r="BG71" s="54" t="s">
        <v>244</v>
      </c>
      <c r="BH71" s="53" t="s">
        <v>243</v>
      </c>
      <c r="BI71" s="54" t="s">
        <v>244</v>
      </c>
      <c r="BJ71" s="53" t="s">
        <v>243</v>
      </c>
      <c r="BK71" s="54" t="s">
        <v>244</v>
      </c>
      <c r="BL71" s="105" t="s">
        <v>243</v>
      </c>
      <c r="BM71" s="106" t="s">
        <v>244</v>
      </c>
    </row>
    <row r="72" spans="1:65" x14ac:dyDescent="0.25">
      <c r="A72" s="20" t="s">
        <v>297</v>
      </c>
      <c r="B72" s="76"/>
      <c r="C72" s="76"/>
      <c r="D72" s="76"/>
      <c r="E72" s="76"/>
      <c r="F72" s="92">
        <v>121381</v>
      </c>
      <c r="G72" s="92">
        <v>292642</v>
      </c>
      <c r="H72" s="92">
        <v>25157</v>
      </c>
      <c r="I72" s="92">
        <v>41913</v>
      </c>
      <c r="J72" s="76"/>
      <c r="K72" s="76"/>
      <c r="L72" s="92">
        <v>10</v>
      </c>
      <c r="M72" s="92">
        <v>10</v>
      </c>
      <c r="N72" s="76"/>
      <c r="O72" s="76"/>
      <c r="P72" s="76"/>
      <c r="Q72" s="76"/>
      <c r="R72" s="92">
        <v>10135.120000000001</v>
      </c>
      <c r="S72" s="92">
        <v>12788.18</v>
      </c>
      <c r="T72" s="92">
        <v>0</v>
      </c>
      <c r="U72" s="92">
        <v>0</v>
      </c>
      <c r="V72" s="92">
        <v>27699</v>
      </c>
      <c r="W72" s="92">
        <v>85168</v>
      </c>
      <c r="X72" s="92">
        <v>6761</v>
      </c>
      <c r="Y72" s="92">
        <v>12824</v>
      </c>
      <c r="Z72" s="92">
        <v>12865</v>
      </c>
      <c r="AA72" s="92">
        <v>21218</v>
      </c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92">
        <v>5413.79</v>
      </c>
      <c r="AM72" s="92">
        <v>6830.99</v>
      </c>
      <c r="AN72" s="76"/>
      <c r="AO72" s="76"/>
      <c r="AP72" s="76"/>
      <c r="AQ72" s="76"/>
      <c r="AR72" s="76">
        <v>11313</v>
      </c>
      <c r="AS72" s="76">
        <v>30997</v>
      </c>
      <c r="AT72" s="76"/>
      <c r="AU72" s="76"/>
      <c r="AV72" s="92">
        <v>4683</v>
      </c>
      <c r="AW72" s="92">
        <v>92556</v>
      </c>
      <c r="AX72" s="76"/>
      <c r="AY72" s="76"/>
      <c r="AZ72" s="76"/>
      <c r="BA72" s="76"/>
      <c r="BB72" s="92">
        <v>60</v>
      </c>
      <c r="BC72" s="92">
        <v>90</v>
      </c>
      <c r="BD72" s="92">
        <v>95301.18</v>
      </c>
      <c r="BE72" s="92">
        <v>105303.18</v>
      </c>
      <c r="BF72" s="92">
        <v>11704</v>
      </c>
      <c r="BG72" s="92">
        <v>19495</v>
      </c>
      <c r="BH72" s="92">
        <v>59089</v>
      </c>
      <c r="BI72" s="92">
        <v>68103</v>
      </c>
      <c r="BJ72" s="92">
        <v>20552</v>
      </c>
      <c r="BK72" s="92">
        <v>38909</v>
      </c>
      <c r="BL72" s="68">
        <f t="shared" ref="BL72:BL78" si="12">SUM(B72+D72+F72+H72+J72+L72+N72+P72+R72+T72+V72+X72+Z72+AB72+AD72+AF72+AH72+AJ72+AL72+AN72+AP72+AR72+AT72+AV72+AX72+AZ72+BB72+BD72+BF72+BH72+BJ72)</f>
        <v>412124.08999999997</v>
      </c>
      <c r="BM72" s="68">
        <f t="shared" ref="BM72:BM78" si="13">SUM(C72+E72+G72+I72+K72+M72+O72+Q72+S72+U72+W72+Y72+AA72+AC72+AE72+AG72+AI72+AK72+AM72+AO72+AQ72+AS72+AU72+AW72+AY72+BA72+BC72+BE72+BG72+BI72+BK72)</f>
        <v>828847.34999999986</v>
      </c>
    </row>
    <row r="73" spans="1:65" x14ac:dyDescent="0.25">
      <c r="A73" s="20" t="s">
        <v>298</v>
      </c>
      <c r="B73" s="76"/>
      <c r="C73" s="76"/>
      <c r="D73" s="76"/>
      <c r="E73" s="76"/>
      <c r="F73" s="92">
        <v>0</v>
      </c>
      <c r="G73" s="92">
        <v>0</v>
      </c>
      <c r="H73" s="92"/>
      <c r="I73" s="92">
        <v>0</v>
      </c>
      <c r="J73" s="76"/>
      <c r="K73" s="76"/>
      <c r="L73" s="92"/>
      <c r="M73" s="92"/>
      <c r="N73" s="76"/>
      <c r="O73" s="76"/>
      <c r="P73" s="76"/>
      <c r="Q73" s="76"/>
      <c r="R73" s="92"/>
      <c r="S73" s="92"/>
      <c r="T73" s="92">
        <v>611</v>
      </c>
      <c r="U73" s="92">
        <v>687</v>
      </c>
      <c r="V73" s="92"/>
      <c r="W73" s="92"/>
      <c r="X73" s="92"/>
      <c r="Y73" s="92"/>
      <c r="Z73" s="92"/>
      <c r="AA73" s="92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92"/>
      <c r="AM73" s="92"/>
      <c r="AN73" s="76"/>
      <c r="AO73" s="76"/>
      <c r="AP73" s="76"/>
      <c r="AQ73" s="76"/>
      <c r="AR73" s="76"/>
      <c r="AS73" s="76"/>
      <c r="AT73" s="76"/>
      <c r="AU73" s="76"/>
      <c r="AV73" s="92"/>
      <c r="AW73" s="92"/>
      <c r="AX73" s="76"/>
      <c r="AY73" s="76"/>
      <c r="AZ73" s="76"/>
      <c r="BA73" s="76"/>
      <c r="BB73" s="92"/>
      <c r="BC73" s="92"/>
      <c r="BD73" s="92">
        <v>46.38</v>
      </c>
      <c r="BE73" s="92">
        <v>46.38</v>
      </c>
      <c r="BF73" s="92">
        <v>23</v>
      </c>
      <c r="BG73" s="92">
        <v>23</v>
      </c>
      <c r="BH73" s="92">
        <v>0</v>
      </c>
      <c r="BI73" s="92">
        <v>0</v>
      </c>
      <c r="BJ73" s="92"/>
      <c r="BK73" s="92"/>
      <c r="BL73" s="68">
        <f t="shared" si="12"/>
        <v>680.38</v>
      </c>
      <c r="BM73" s="68">
        <f t="shared" si="13"/>
        <v>756.38</v>
      </c>
    </row>
    <row r="74" spans="1:65" x14ac:dyDescent="0.25">
      <c r="A74" s="20" t="s">
        <v>299</v>
      </c>
      <c r="B74" s="76"/>
      <c r="C74" s="76"/>
      <c r="D74" s="76"/>
      <c r="E74" s="76"/>
      <c r="F74" s="92">
        <v>99090</v>
      </c>
      <c r="G74" s="92">
        <v>208996</v>
      </c>
      <c r="H74" s="92">
        <v>-17101</v>
      </c>
      <c r="I74" s="92">
        <v>-30181</v>
      </c>
      <c r="J74" s="76"/>
      <c r="K74" s="76"/>
      <c r="L74" s="92">
        <v>8</v>
      </c>
      <c r="M74" s="92">
        <v>8</v>
      </c>
      <c r="N74" s="76"/>
      <c r="O74" s="76"/>
      <c r="P74" s="76"/>
      <c r="Q74" s="76"/>
      <c r="R74" s="92">
        <v>7804.49</v>
      </c>
      <c r="S74" s="92">
        <v>9851.34</v>
      </c>
      <c r="T74" s="92">
        <v>296</v>
      </c>
      <c r="U74" s="92">
        <v>317</v>
      </c>
      <c r="V74" s="92">
        <v>-22088</v>
      </c>
      <c r="W74" s="92">
        <v>-67809</v>
      </c>
      <c r="X74" s="92">
        <v>5168</v>
      </c>
      <c r="Y74" s="92">
        <v>10479</v>
      </c>
      <c r="Z74" s="92">
        <v>9711</v>
      </c>
      <c r="AA74" s="92">
        <v>15976</v>
      </c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92">
        <v>3259.6</v>
      </c>
      <c r="AM74" s="92">
        <v>3851.82</v>
      </c>
      <c r="AN74" s="76"/>
      <c r="AO74" s="76"/>
      <c r="AP74" s="76"/>
      <c r="AQ74" s="76"/>
      <c r="AR74" s="76">
        <v>4165</v>
      </c>
      <c r="AS74" s="76">
        <v>18936</v>
      </c>
      <c r="AT74" s="76"/>
      <c r="AU74" s="76"/>
      <c r="AV74" s="92">
        <v>3433</v>
      </c>
      <c r="AW74" s="92">
        <v>71683</v>
      </c>
      <c r="AX74" s="76"/>
      <c r="AY74" s="76"/>
      <c r="AZ74" s="76"/>
      <c r="BA74" s="76"/>
      <c r="BB74" s="92">
        <v>40</v>
      </c>
      <c r="BC74" s="92">
        <v>57</v>
      </c>
      <c r="BD74" s="92">
        <v>8721.49</v>
      </c>
      <c r="BE74" s="92">
        <v>17239.849999999999</v>
      </c>
      <c r="BF74" s="92">
        <v>8166</v>
      </c>
      <c r="BG74" s="92">
        <v>14574</v>
      </c>
      <c r="BH74" s="92">
        <v>15244</v>
      </c>
      <c r="BI74" s="92">
        <v>22044</v>
      </c>
      <c r="BJ74" s="92">
        <v>16035</v>
      </c>
      <c r="BK74" s="92">
        <v>30331</v>
      </c>
      <c r="BL74" s="68">
        <f t="shared" si="12"/>
        <v>141952.58000000002</v>
      </c>
      <c r="BM74" s="68">
        <f t="shared" si="13"/>
        <v>326354.01</v>
      </c>
    </row>
    <row r="75" spans="1:65" s="7" customFormat="1" x14ac:dyDescent="0.25">
      <c r="A75" s="3" t="s">
        <v>300</v>
      </c>
      <c r="B75" s="10"/>
      <c r="C75" s="10"/>
      <c r="D75" s="10"/>
      <c r="E75" s="10"/>
      <c r="F75" s="10">
        <v>22292</v>
      </c>
      <c r="G75" s="10">
        <v>83647</v>
      </c>
      <c r="H75" s="10">
        <v>8056</v>
      </c>
      <c r="I75" s="10">
        <v>11732</v>
      </c>
      <c r="J75" s="10"/>
      <c r="K75" s="10"/>
      <c r="L75" s="10">
        <v>2</v>
      </c>
      <c r="M75" s="10">
        <v>2</v>
      </c>
      <c r="N75" s="10"/>
      <c r="O75" s="10"/>
      <c r="P75" s="10"/>
      <c r="Q75" s="10"/>
      <c r="R75" s="10">
        <v>2330.63</v>
      </c>
      <c r="S75" s="10">
        <v>2936.84</v>
      </c>
      <c r="T75" s="10">
        <v>315</v>
      </c>
      <c r="U75" s="10">
        <v>370</v>
      </c>
      <c r="V75" s="10">
        <v>5610</v>
      </c>
      <c r="W75" s="10">
        <v>17359</v>
      </c>
      <c r="X75" s="10">
        <v>1593</v>
      </c>
      <c r="Y75" s="10">
        <v>2345</v>
      </c>
      <c r="Z75" s="10">
        <v>3154</v>
      </c>
      <c r="AA75" s="10">
        <v>5242</v>
      </c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>
        <v>2154.19</v>
      </c>
      <c r="AM75" s="10">
        <v>2979.17</v>
      </c>
      <c r="AN75" s="10"/>
      <c r="AO75" s="10"/>
      <c r="AP75" s="10"/>
      <c r="AQ75" s="10"/>
      <c r="AR75" s="10">
        <v>7148</v>
      </c>
      <c r="AS75" s="10">
        <v>12061</v>
      </c>
      <c r="AT75" s="10"/>
      <c r="AU75" s="10"/>
      <c r="AV75" s="10">
        <v>1250</v>
      </c>
      <c r="AW75" s="10">
        <v>20873</v>
      </c>
      <c r="AX75" s="10"/>
      <c r="AY75" s="10"/>
      <c r="AZ75" s="10"/>
      <c r="BA75" s="10"/>
      <c r="BB75" s="10">
        <v>20</v>
      </c>
      <c r="BC75" s="10">
        <v>34</v>
      </c>
      <c r="BD75" s="10"/>
      <c r="BE75" s="10"/>
      <c r="BF75" s="10">
        <v>3562</v>
      </c>
      <c r="BG75" s="10">
        <v>4943</v>
      </c>
      <c r="BH75" s="10">
        <v>43845</v>
      </c>
      <c r="BI75" s="10">
        <v>46059</v>
      </c>
      <c r="BJ75" s="10">
        <v>4517</v>
      </c>
      <c r="BK75" s="10">
        <v>8578</v>
      </c>
      <c r="BL75" s="63">
        <f t="shared" si="12"/>
        <v>105848.82</v>
      </c>
      <c r="BM75" s="63">
        <f t="shared" si="13"/>
        <v>219161.01</v>
      </c>
    </row>
    <row r="76" spans="1:65" x14ac:dyDescent="0.25">
      <c r="A76" s="20" t="s">
        <v>301</v>
      </c>
      <c r="B76" s="76"/>
      <c r="C76" s="76"/>
      <c r="D76" s="76"/>
      <c r="E76" s="76"/>
      <c r="F76" s="92">
        <v>240787</v>
      </c>
      <c r="G76" s="92">
        <v>965171</v>
      </c>
      <c r="H76" s="92">
        <v>33259</v>
      </c>
      <c r="I76" s="92">
        <v>33259</v>
      </c>
      <c r="J76" s="76"/>
      <c r="K76" s="76"/>
      <c r="L76" s="92">
        <v>-1</v>
      </c>
      <c r="M76" s="92">
        <v>594</v>
      </c>
      <c r="N76" s="76"/>
      <c r="O76" s="76"/>
      <c r="P76" s="76"/>
      <c r="Q76" s="76"/>
      <c r="R76" s="92">
        <v>8169.23</v>
      </c>
      <c r="S76" s="92">
        <v>8169.23</v>
      </c>
      <c r="T76" s="92">
        <v>1360</v>
      </c>
      <c r="U76" s="92">
        <v>1360</v>
      </c>
      <c r="V76" s="92">
        <v>40019</v>
      </c>
      <c r="W76" s="92">
        <v>40019</v>
      </c>
      <c r="X76" s="92">
        <v>20691</v>
      </c>
      <c r="Y76" s="92">
        <v>20691</v>
      </c>
      <c r="Z76" s="92">
        <v>404</v>
      </c>
      <c r="AA76" s="92">
        <v>22645</v>
      </c>
      <c r="AB76" s="76"/>
      <c r="AC76" s="76"/>
      <c r="AD76" s="76"/>
      <c r="AE76" s="76"/>
      <c r="AF76" s="92">
        <v>2966.01</v>
      </c>
      <c r="AG76" s="92">
        <v>2966.01</v>
      </c>
      <c r="AH76" s="76"/>
      <c r="AI76" s="76"/>
      <c r="AJ76" s="76"/>
      <c r="AK76" s="76"/>
      <c r="AL76" s="92">
        <v>102670.84</v>
      </c>
      <c r="AM76" s="92">
        <v>102670.84</v>
      </c>
      <c r="AN76" s="76"/>
      <c r="AO76" s="76"/>
      <c r="AP76" s="76"/>
      <c r="AQ76" s="76"/>
      <c r="AR76" s="76">
        <v>80077</v>
      </c>
      <c r="AS76" s="76">
        <v>80077</v>
      </c>
      <c r="AT76" s="76"/>
      <c r="AU76" s="76"/>
      <c r="AV76" s="92">
        <v>44473</v>
      </c>
      <c r="AW76" s="92">
        <v>44473</v>
      </c>
      <c r="AX76" s="76">
        <v>4</v>
      </c>
      <c r="AY76" s="76">
        <v>4</v>
      </c>
      <c r="AZ76" s="76"/>
      <c r="BA76" s="76"/>
      <c r="BB76" s="92">
        <v>7142</v>
      </c>
      <c r="BC76" s="92">
        <v>7142</v>
      </c>
      <c r="BD76" s="92">
        <v>90477.53</v>
      </c>
      <c r="BE76" s="92">
        <v>90477.53</v>
      </c>
      <c r="BF76" s="92">
        <v>35000</v>
      </c>
      <c r="BG76" s="92">
        <v>89908</v>
      </c>
      <c r="BH76" s="92">
        <v>18887</v>
      </c>
      <c r="BI76" s="92">
        <v>18887</v>
      </c>
      <c r="BJ76" s="92">
        <v>-5946</v>
      </c>
      <c r="BK76" s="92">
        <v>11381</v>
      </c>
      <c r="BL76" s="68">
        <f t="shared" si="12"/>
        <v>720439.61</v>
      </c>
      <c r="BM76" s="68">
        <f t="shared" si="13"/>
        <v>1539894.61</v>
      </c>
    </row>
    <row r="77" spans="1:65" ht="15" customHeight="1" x14ac:dyDescent="0.25">
      <c r="A77" s="20" t="s">
        <v>302</v>
      </c>
      <c r="B77" s="76"/>
      <c r="C77" s="76"/>
      <c r="D77" s="76"/>
      <c r="E77" s="76"/>
      <c r="F77" s="92">
        <v>0</v>
      </c>
      <c r="G77" s="92">
        <v>709118</v>
      </c>
      <c r="H77" s="92">
        <v>20645</v>
      </c>
      <c r="I77" s="92">
        <v>29127</v>
      </c>
      <c r="J77" s="76"/>
      <c r="K77" s="76"/>
      <c r="L77" s="92"/>
      <c r="M77" s="92">
        <v>593</v>
      </c>
      <c r="N77" s="76"/>
      <c r="O77" s="76"/>
      <c r="P77" s="76"/>
      <c r="Q77" s="76"/>
      <c r="R77" s="92">
        <v>8458.48</v>
      </c>
      <c r="S77" s="92">
        <v>9332.81</v>
      </c>
      <c r="T77" s="92">
        <v>1060</v>
      </c>
      <c r="U77" s="92">
        <v>1557</v>
      </c>
      <c r="V77" s="92">
        <v>-23292</v>
      </c>
      <c r="W77" s="92">
        <v>-42681</v>
      </c>
      <c r="X77" s="92">
        <v>16924</v>
      </c>
      <c r="Y77" s="92">
        <v>6194</v>
      </c>
      <c r="Z77" s="92"/>
      <c r="AA77" s="92">
        <v>24616</v>
      </c>
      <c r="AB77" s="76"/>
      <c r="AC77" s="76"/>
      <c r="AD77" s="76"/>
      <c r="AE77" s="76"/>
      <c r="AF77" s="92">
        <v>-2966.01</v>
      </c>
      <c r="AG77" s="92">
        <v>-2966.01</v>
      </c>
      <c r="AH77" s="76"/>
      <c r="AI77" s="76"/>
      <c r="AJ77" s="76"/>
      <c r="AK77" s="76"/>
      <c r="AL77" s="92">
        <v>97282.64</v>
      </c>
      <c r="AM77" s="92">
        <v>102908.98</v>
      </c>
      <c r="AN77" s="76"/>
      <c r="AO77" s="76"/>
      <c r="AP77" s="76"/>
      <c r="AQ77" s="76"/>
      <c r="AR77" s="76">
        <v>48863</v>
      </c>
      <c r="AS77" s="76">
        <v>48286</v>
      </c>
      <c r="AT77" s="76"/>
      <c r="AU77" s="76"/>
      <c r="AV77" s="92">
        <v>30592</v>
      </c>
      <c r="AW77" s="92">
        <v>47887</v>
      </c>
      <c r="AX77" s="76">
        <v>4</v>
      </c>
      <c r="AY77" s="76">
        <v>4</v>
      </c>
      <c r="AZ77" s="76"/>
      <c r="BA77" s="76"/>
      <c r="BB77" s="92">
        <v>12134</v>
      </c>
      <c r="BC77" s="92">
        <v>12139</v>
      </c>
      <c r="BD77" s="92">
        <v>152031.59</v>
      </c>
      <c r="BE77" s="92">
        <v>163102.88</v>
      </c>
      <c r="BF77" s="92">
        <v>0</v>
      </c>
      <c r="BG77" s="92">
        <v>61839</v>
      </c>
      <c r="BH77" s="92">
        <v>77526</v>
      </c>
      <c r="BI77" s="92">
        <v>74121</v>
      </c>
      <c r="BJ77" s="92"/>
      <c r="BK77" s="92">
        <v>21175</v>
      </c>
      <c r="BL77" s="68">
        <f t="shared" si="12"/>
        <v>439262.69999999995</v>
      </c>
      <c r="BM77" s="68">
        <f t="shared" si="13"/>
        <v>1266353.6600000001</v>
      </c>
    </row>
    <row r="78" spans="1:65" s="7" customFormat="1" x14ac:dyDescent="0.25">
      <c r="A78" s="3" t="s">
        <v>303</v>
      </c>
      <c r="B78" s="10"/>
      <c r="C78" s="10"/>
      <c r="D78" s="10"/>
      <c r="E78" s="10"/>
      <c r="F78" s="10">
        <v>263079</v>
      </c>
      <c r="G78" s="10">
        <v>339699</v>
      </c>
      <c r="H78" s="10">
        <v>20670</v>
      </c>
      <c r="I78" s="10">
        <v>15863</v>
      </c>
      <c r="J78" s="10"/>
      <c r="K78" s="10"/>
      <c r="L78" s="10">
        <v>1</v>
      </c>
      <c r="M78" s="10">
        <v>3</v>
      </c>
      <c r="N78" s="10"/>
      <c r="O78" s="10"/>
      <c r="P78" s="10"/>
      <c r="Q78" s="10"/>
      <c r="R78" s="10">
        <v>2041.38</v>
      </c>
      <c r="S78" s="10">
        <v>1773.27</v>
      </c>
      <c r="T78" s="10">
        <v>615</v>
      </c>
      <c r="U78" s="10">
        <v>174</v>
      </c>
      <c r="V78" s="10">
        <v>22338</v>
      </c>
      <c r="W78" s="10">
        <v>14697</v>
      </c>
      <c r="X78" s="10">
        <v>5360</v>
      </c>
      <c r="Y78" s="10">
        <v>5759</v>
      </c>
      <c r="Z78" s="10">
        <v>3558</v>
      </c>
      <c r="AA78" s="10">
        <v>3271</v>
      </c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>
        <v>7542.39</v>
      </c>
      <c r="AM78" s="10">
        <v>2741.03</v>
      </c>
      <c r="AN78" s="10"/>
      <c r="AO78" s="10"/>
      <c r="AP78" s="10"/>
      <c r="AQ78" s="10"/>
      <c r="AR78" s="10">
        <v>38362</v>
      </c>
      <c r="AS78" s="10">
        <v>43852</v>
      </c>
      <c r="AT78" s="10"/>
      <c r="AU78" s="10"/>
      <c r="AV78" s="10">
        <v>15131</v>
      </c>
      <c r="AW78" s="10">
        <v>17459</v>
      </c>
      <c r="AX78" s="10"/>
      <c r="AY78" s="10"/>
      <c r="AZ78" s="10"/>
      <c r="BA78" s="10"/>
      <c r="BB78" s="10">
        <v>-4972</v>
      </c>
      <c r="BC78" s="10">
        <v>-4963</v>
      </c>
      <c r="BD78" s="10">
        <v>27187.52</v>
      </c>
      <c r="BE78" s="10">
        <v>27669.759999999998</v>
      </c>
      <c r="BF78" s="10">
        <v>38561</v>
      </c>
      <c r="BG78" s="10">
        <v>33012</v>
      </c>
      <c r="BH78" s="10">
        <v>-14794</v>
      </c>
      <c r="BI78" s="10">
        <v>-9175</v>
      </c>
      <c r="BJ78" s="10">
        <v>-1428</v>
      </c>
      <c r="BK78" s="10">
        <v>-1217</v>
      </c>
      <c r="BL78" s="63">
        <f t="shared" si="12"/>
        <v>423252.29000000004</v>
      </c>
      <c r="BM78" s="63">
        <f t="shared" si="13"/>
        <v>490618.06000000006</v>
      </c>
    </row>
    <row r="79" spans="1:65" x14ac:dyDescent="0.25">
      <c r="A79" s="28"/>
    </row>
    <row r="80" spans="1:65" x14ac:dyDescent="0.25">
      <c r="A80" s="29" t="s">
        <v>188</v>
      </c>
    </row>
    <row r="81" spans="1:65" x14ac:dyDescent="0.25">
      <c r="A81" s="3" t="s">
        <v>0</v>
      </c>
      <c r="B81" s="147" t="s">
        <v>1</v>
      </c>
      <c r="C81" s="148"/>
      <c r="D81" s="147" t="s">
        <v>233</v>
      </c>
      <c r="E81" s="148"/>
      <c r="F81" s="147" t="s">
        <v>2</v>
      </c>
      <c r="G81" s="148"/>
      <c r="H81" s="147" t="s">
        <v>3</v>
      </c>
      <c r="I81" s="148"/>
      <c r="J81" s="147" t="s">
        <v>242</v>
      </c>
      <c r="K81" s="148"/>
      <c r="L81" s="147" t="s">
        <v>234</v>
      </c>
      <c r="M81" s="148"/>
      <c r="N81" s="147" t="s">
        <v>5</v>
      </c>
      <c r="O81" s="148"/>
      <c r="P81" s="147" t="s">
        <v>4</v>
      </c>
      <c r="Q81" s="148"/>
      <c r="R81" s="147" t="s">
        <v>6</v>
      </c>
      <c r="S81" s="148"/>
      <c r="T81" s="147" t="s">
        <v>254</v>
      </c>
      <c r="U81" s="148"/>
      <c r="V81" s="147" t="s">
        <v>7</v>
      </c>
      <c r="W81" s="148"/>
      <c r="X81" s="147" t="s">
        <v>8</v>
      </c>
      <c r="Y81" s="148"/>
      <c r="Z81" s="147" t="s">
        <v>9</v>
      </c>
      <c r="AA81" s="148"/>
      <c r="AB81" s="147" t="s">
        <v>241</v>
      </c>
      <c r="AC81" s="148"/>
      <c r="AD81" s="147" t="s">
        <v>10</v>
      </c>
      <c r="AE81" s="148"/>
      <c r="AF81" s="147" t="s">
        <v>11</v>
      </c>
      <c r="AG81" s="148"/>
      <c r="AH81" s="147" t="s">
        <v>235</v>
      </c>
      <c r="AI81" s="148"/>
      <c r="AJ81" s="147" t="s">
        <v>253</v>
      </c>
      <c r="AK81" s="148"/>
      <c r="AL81" s="147" t="s">
        <v>12</v>
      </c>
      <c r="AM81" s="148"/>
      <c r="AN81" s="147" t="s">
        <v>236</v>
      </c>
      <c r="AO81" s="148"/>
      <c r="AP81" s="147" t="s">
        <v>237</v>
      </c>
      <c r="AQ81" s="148"/>
      <c r="AR81" s="147" t="s">
        <v>240</v>
      </c>
      <c r="AS81" s="148"/>
      <c r="AT81" s="147" t="s">
        <v>13</v>
      </c>
      <c r="AU81" s="148"/>
      <c r="AV81" s="147" t="s">
        <v>14</v>
      </c>
      <c r="AW81" s="148"/>
      <c r="AX81" s="147" t="s">
        <v>15</v>
      </c>
      <c r="AY81" s="148"/>
      <c r="AZ81" s="147" t="s">
        <v>16</v>
      </c>
      <c r="BA81" s="148"/>
      <c r="BB81" s="147" t="s">
        <v>17</v>
      </c>
      <c r="BC81" s="148"/>
      <c r="BD81" s="147" t="s">
        <v>238</v>
      </c>
      <c r="BE81" s="148"/>
      <c r="BF81" s="147" t="s">
        <v>239</v>
      </c>
      <c r="BG81" s="148"/>
      <c r="BH81" s="147" t="s">
        <v>18</v>
      </c>
      <c r="BI81" s="148"/>
      <c r="BJ81" s="147" t="s">
        <v>19</v>
      </c>
      <c r="BK81" s="148"/>
      <c r="BL81" s="149" t="s">
        <v>20</v>
      </c>
      <c r="BM81" s="150"/>
    </row>
    <row r="82" spans="1:65" ht="30" x14ac:dyDescent="0.25">
      <c r="A82" s="3"/>
      <c r="B82" s="53" t="s">
        <v>243</v>
      </c>
      <c r="C82" s="54" t="s">
        <v>244</v>
      </c>
      <c r="D82" s="53" t="s">
        <v>243</v>
      </c>
      <c r="E82" s="54" t="s">
        <v>244</v>
      </c>
      <c r="F82" s="53" t="s">
        <v>243</v>
      </c>
      <c r="G82" s="54" t="s">
        <v>244</v>
      </c>
      <c r="H82" s="53" t="s">
        <v>243</v>
      </c>
      <c r="I82" s="54" t="s">
        <v>244</v>
      </c>
      <c r="J82" s="53" t="s">
        <v>243</v>
      </c>
      <c r="K82" s="54" t="s">
        <v>244</v>
      </c>
      <c r="L82" s="53" t="s">
        <v>243</v>
      </c>
      <c r="M82" s="54" t="s">
        <v>244</v>
      </c>
      <c r="N82" s="53" t="s">
        <v>243</v>
      </c>
      <c r="O82" s="54" t="s">
        <v>244</v>
      </c>
      <c r="P82" s="53" t="s">
        <v>243</v>
      </c>
      <c r="Q82" s="54" t="s">
        <v>244</v>
      </c>
      <c r="R82" s="53" t="s">
        <v>243</v>
      </c>
      <c r="S82" s="54" t="s">
        <v>244</v>
      </c>
      <c r="T82" s="53" t="s">
        <v>243</v>
      </c>
      <c r="U82" s="54" t="s">
        <v>244</v>
      </c>
      <c r="V82" s="53" t="s">
        <v>243</v>
      </c>
      <c r="W82" s="54" t="s">
        <v>244</v>
      </c>
      <c r="X82" s="53" t="s">
        <v>243</v>
      </c>
      <c r="Y82" s="54" t="s">
        <v>244</v>
      </c>
      <c r="Z82" s="53" t="s">
        <v>243</v>
      </c>
      <c r="AA82" s="54" t="s">
        <v>244</v>
      </c>
      <c r="AB82" s="53" t="s">
        <v>243</v>
      </c>
      <c r="AC82" s="54" t="s">
        <v>244</v>
      </c>
      <c r="AD82" s="53" t="s">
        <v>243</v>
      </c>
      <c r="AE82" s="54" t="s">
        <v>244</v>
      </c>
      <c r="AF82" s="53" t="s">
        <v>243</v>
      </c>
      <c r="AG82" s="54" t="s">
        <v>244</v>
      </c>
      <c r="AH82" s="53" t="s">
        <v>243</v>
      </c>
      <c r="AI82" s="54" t="s">
        <v>244</v>
      </c>
      <c r="AJ82" s="53" t="s">
        <v>243</v>
      </c>
      <c r="AK82" s="54" t="s">
        <v>244</v>
      </c>
      <c r="AL82" s="53" t="s">
        <v>243</v>
      </c>
      <c r="AM82" s="54" t="s">
        <v>244</v>
      </c>
      <c r="AN82" s="53" t="s">
        <v>243</v>
      </c>
      <c r="AO82" s="54" t="s">
        <v>244</v>
      </c>
      <c r="AP82" s="53" t="s">
        <v>243</v>
      </c>
      <c r="AQ82" s="54" t="s">
        <v>244</v>
      </c>
      <c r="AR82" s="53" t="s">
        <v>243</v>
      </c>
      <c r="AS82" s="54" t="s">
        <v>244</v>
      </c>
      <c r="AT82" s="53" t="s">
        <v>243</v>
      </c>
      <c r="AU82" s="54" t="s">
        <v>244</v>
      </c>
      <c r="AV82" s="53" t="s">
        <v>243</v>
      </c>
      <c r="AW82" s="54" t="s">
        <v>244</v>
      </c>
      <c r="AX82" s="53" t="s">
        <v>243</v>
      </c>
      <c r="AY82" s="54" t="s">
        <v>244</v>
      </c>
      <c r="AZ82" s="53" t="s">
        <v>243</v>
      </c>
      <c r="BA82" s="54" t="s">
        <v>244</v>
      </c>
      <c r="BB82" s="53" t="s">
        <v>243</v>
      </c>
      <c r="BC82" s="54" t="s">
        <v>244</v>
      </c>
      <c r="BD82" s="53" t="s">
        <v>243</v>
      </c>
      <c r="BE82" s="54" t="s">
        <v>244</v>
      </c>
      <c r="BF82" s="53" t="s">
        <v>243</v>
      </c>
      <c r="BG82" s="54" t="s">
        <v>244</v>
      </c>
      <c r="BH82" s="53" t="s">
        <v>243</v>
      </c>
      <c r="BI82" s="54" t="s">
        <v>244</v>
      </c>
      <c r="BJ82" s="53" t="s">
        <v>243</v>
      </c>
      <c r="BK82" s="54" t="s">
        <v>244</v>
      </c>
      <c r="BL82" s="105" t="s">
        <v>243</v>
      </c>
      <c r="BM82" s="106" t="s">
        <v>244</v>
      </c>
    </row>
    <row r="83" spans="1:65" x14ac:dyDescent="0.25">
      <c r="A83" s="20" t="s">
        <v>297</v>
      </c>
      <c r="B83" s="76"/>
      <c r="C83" s="76"/>
      <c r="D83" s="76"/>
      <c r="E83" s="76"/>
      <c r="F83" s="76"/>
      <c r="G83" s="76"/>
      <c r="H83" s="92">
        <v>4279</v>
      </c>
      <c r="I83" s="92">
        <v>4465</v>
      </c>
      <c r="J83" s="76"/>
      <c r="K83" s="76"/>
      <c r="L83" s="76"/>
      <c r="M83" s="76"/>
      <c r="N83" s="76"/>
      <c r="O83" s="76"/>
      <c r="P83" s="76"/>
      <c r="Q83" s="76"/>
      <c r="R83" s="92">
        <v>110.6</v>
      </c>
      <c r="S83" s="92">
        <v>110.6</v>
      </c>
      <c r="T83" s="76"/>
      <c r="U83" s="76"/>
      <c r="V83" s="92"/>
      <c r="W83" s="92">
        <v>1</v>
      </c>
      <c r="X83" s="92">
        <v>903</v>
      </c>
      <c r="Y83" s="92">
        <v>3035</v>
      </c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92">
        <v>149.22999999999999</v>
      </c>
      <c r="AM83" s="92">
        <v>150.30000000000001</v>
      </c>
      <c r="AN83" s="76"/>
      <c r="AO83" s="76"/>
      <c r="AP83" s="76"/>
      <c r="AQ83" s="76"/>
      <c r="AR83" s="76">
        <v>337</v>
      </c>
      <c r="AS83" s="76">
        <v>417</v>
      </c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92">
        <v>803.63</v>
      </c>
      <c r="BE83" s="92">
        <v>4220.3500000000004</v>
      </c>
      <c r="BF83" s="92">
        <v>1790</v>
      </c>
      <c r="BG83" s="92">
        <v>2121</v>
      </c>
      <c r="BH83" s="92">
        <v>187</v>
      </c>
      <c r="BI83" s="92">
        <v>1967</v>
      </c>
      <c r="BJ83" s="76"/>
      <c r="BK83" s="76"/>
      <c r="BL83" s="68">
        <f t="shared" ref="BL83:BL89" si="14">SUM(B83+D83+F83+H83+J83+L83+N83+P83+R83+T83+V83+X83+Z83+AB83+AD83+AF83+AH83+AJ83+AL83+AN83+AP83+AR83+AT83+AV83+AX83+AZ83+BB83+BD83+BF83+BH83+BJ83)</f>
        <v>8559.4599999999991</v>
      </c>
      <c r="BM83" s="68">
        <f t="shared" ref="BM83:BM89" si="15">SUM(C83+E83+G83+I83+K83+M83+O83+Q83+S83+U83+W83+Y83+AA83+AC83+AE83+AG83+AI83+AK83+AM83+AO83+AQ83+AS83+AU83+AW83+AY83+BA83+BC83+BE83+BG83+BI83+BK83)</f>
        <v>16487.25</v>
      </c>
    </row>
    <row r="84" spans="1:65" x14ac:dyDescent="0.25">
      <c r="A84" s="20" t="s">
        <v>298</v>
      </c>
      <c r="B84" s="76"/>
      <c r="C84" s="76"/>
      <c r="D84" s="76"/>
      <c r="E84" s="76"/>
      <c r="F84" s="76"/>
      <c r="G84" s="76"/>
      <c r="H84" s="92"/>
      <c r="I84" s="92">
        <v>0</v>
      </c>
      <c r="J84" s="76"/>
      <c r="K84" s="76"/>
      <c r="L84" s="76"/>
      <c r="M84" s="76"/>
      <c r="N84" s="76"/>
      <c r="O84" s="76"/>
      <c r="P84" s="76"/>
      <c r="Q84" s="76"/>
      <c r="R84" s="92"/>
      <c r="S84" s="92"/>
      <c r="T84" s="76"/>
      <c r="U84" s="76"/>
      <c r="V84" s="92">
        <v>-11</v>
      </c>
      <c r="W84" s="92"/>
      <c r="X84" s="92">
        <v>486</v>
      </c>
      <c r="Y84" s="92">
        <v>428</v>
      </c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92">
        <v>1406.71</v>
      </c>
      <c r="AM84" s="92">
        <v>2299.04</v>
      </c>
      <c r="AN84" s="76"/>
      <c r="AO84" s="76"/>
      <c r="AP84" s="76"/>
      <c r="AQ84" s="76"/>
      <c r="AR84" s="76"/>
      <c r="AS84" s="76"/>
      <c r="AT84" s="76"/>
      <c r="AU84" s="76"/>
      <c r="AV84" s="76"/>
      <c r="AW84" s="76"/>
      <c r="AX84" s="76"/>
      <c r="AY84" s="76"/>
      <c r="AZ84" s="76"/>
      <c r="BA84" s="76"/>
      <c r="BB84" s="92"/>
      <c r="BC84" s="92"/>
      <c r="BD84" s="92">
        <v>2129.37</v>
      </c>
      <c r="BE84" s="92">
        <v>4708.09</v>
      </c>
      <c r="BF84" s="92">
        <v>3348</v>
      </c>
      <c r="BG84" s="92">
        <v>5728</v>
      </c>
      <c r="BH84" s="92">
        <v>88</v>
      </c>
      <c r="BI84" s="92">
        <v>783</v>
      </c>
      <c r="BJ84" s="76"/>
      <c r="BK84" s="76"/>
      <c r="BL84" s="68">
        <f t="shared" si="14"/>
        <v>7447.08</v>
      </c>
      <c r="BM84" s="68">
        <f t="shared" si="15"/>
        <v>13946.130000000001</v>
      </c>
    </row>
    <row r="85" spans="1:65" x14ac:dyDescent="0.25">
      <c r="A85" s="20" t="s">
        <v>299</v>
      </c>
      <c r="B85" s="76"/>
      <c r="C85" s="76"/>
      <c r="D85" s="76"/>
      <c r="E85" s="76"/>
      <c r="F85" s="76"/>
      <c r="G85" s="76"/>
      <c r="H85" s="92">
        <v>-4174</v>
      </c>
      <c r="I85" s="92">
        <v>-4219</v>
      </c>
      <c r="J85" s="76"/>
      <c r="K85" s="76"/>
      <c r="L85" s="76"/>
      <c r="M85" s="76"/>
      <c r="N85" s="76"/>
      <c r="O85" s="76"/>
      <c r="P85" s="76"/>
      <c r="Q85" s="76"/>
      <c r="R85" s="92">
        <v>5.53</v>
      </c>
      <c r="S85" s="92">
        <v>5.53</v>
      </c>
      <c r="T85" s="76"/>
      <c r="U85" s="76"/>
      <c r="V85" s="92"/>
      <c r="W85" s="92">
        <v>-1</v>
      </c>
      <c r="X85" s="92">
        <v>543</v>
      </c>
      <c r="Y85" s="92">
        <v>2344</v>
      </c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92">
        <v>136.16999999999999</v>
      </c>
      <c r="AM85" s="92">
        <v>136.22</v>
      </c>
      <c r="AN85" s="76"/>
      <c r="AO85" s="76"/>
      <c r="AP85" s="76"/>
      <c r="AQ85" s="76"/>
      <c r="AR85" s="76">
        <v>336</v>
      </c>
      <c r="AS85" s="76">
        <v>417</v>
      </c>
      <c r="AT85" s="76"/>
      <c r="AU85" s="76"/>
      <c r="AV85" s="76"/>
      <c r="AW85" s="76"/>
      <c r="AX85" s="76"/>
      <c r="AY85" s="76"/>
      <c r="AZ85" s="76"/>
      <c r="BA85" s="76"/>
      <c r="BB85" s="92"/>
      <c r="BC85" s="92"/>
      <c r="BD85" s="92">
        <v>892.83</v>
      </c>
      <c r="BE85" s="92">
        <v>4233.83</v>
      </c>
      <c r="BF85" s="92">
        <v>2526</v>
      </c>
      <c r="BG85" s="92">
        <v>3052</v>
      </c>
      <c r="BH85" s="92">
        <v>172</v>
      </c>
      <c r="BI85" s="92">
        <v>1723</v>
      </c>
      <c r="BJ85" s="76"/>
      <c r="BK85" s="76"/>
      <c r="BL85" s="68">
        <f t="shared" si="14"/>
        <v>437.52999999999975</v>
      </c>
      <c r="BM85" s="68">
        <f t="shared" si="15"/>
        <v>7691.58</v>
      </c>
    </row>
    <row r="86" spans="1:65" s="7" customFormat="1" x14ac:dyDescent="0.25">
      <c r="A86" s="3" t="s">
        <v>300</v>
      </c>
      <c r="B86" s="10"/>
      <c r="C86" s="10"/>
      <c r="D86" s="10"/>
      <c r="E86" s="10"/>
      <c r="F86" s="10"/>
      <c r="G86" s="10"/>
      <c r="H86" s="10">
        <v>106</v>
      </c>
      <c r="I86" s="10">
        <v>246</v>
      </c>
      <c r="J86" s="10"/>
      <c r="K86" s="10"/>
      <c r="L86" s="10"/>
      <c r="M86" s="10"/>
      <c r="N86" s="10"/>
      <c r="O86" s="10"/>
      <c r="P86" s="10"/>
      <c r="Q86" s="10"/>
      <c r="R86" s="10">
        <v>105.07</v>
      </c>
      <c r="S86" s="10">
        <v>105.07</v>
      </c>
      <c r="T86" s="10"/>
      <c r="U86" s="10"/>
      <c r="V86" s="10">
        <v>-11</v>
      </c>
      <c r="W86" s="10"/>
      <c r="X86" s="10">
        <v>846</v>
      </c>
      <c r="Y86" s="10">
        <v>1119</v>
      </c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>
        <v>1419.77</v>
      </c>
      <c r="AM86" s="10">
        <v>2313.13</v>
      </c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>
        <v>2612</v>
      </c>
      <c r="BG86" s="10">
        <v>4797</v>
      </c>
      <c r="BH86" s="10">
        <v>103</v>
      </c>
      <c r="BI86" s="10">
        <v>1027</v>
      </c>
      <c r="BJ86" s="10"/>
      <c r="BK86" s="10"/>
      <c r="BL86" s="63">
        <f t="shared" si="14"/>
        <v>5180.84</v>
      </c>
      <c r="BM86" s="63">
        <f t="shared" si="15"/>
        <v>9607.2000000000007</v>
      </c>
    </row>
    <row r="87" spans="1:65" x14ac:dyDescent="0.25">
      <c r="A87" s="20" t="s">
        <v>301</v>
      </c>
      <c r="B87" s="76"/>
      <c r="C87" s="76"/>
      <c r="D87" s="76"/>
      <c r="E87" s="76"/>
      <c r="F87" s="76"/>
      <c r="G87" s="76"/>
      <c r="H87" s="92">
        <v>1623</v>
      </c>
      <c r="I87" s="92">
        <v>1623</v>
      </c>
      <c r="J87" s="76"/>
      <c r="K87" s="76"/>
      <c r="L87" s="76"/>
      <c r="M87" s="76"/>
      <c r="N87" s="76"/>
      <c r="O87" s="76"/>
      <c r="P87" s="76"/>
      <c r="Q87" s="76"/>
      <c r="R87" s="92">
        <v>170.97</v>
      </c>
      <c r="S87" s="92">
        <v>170.97</v>
      </c>
      <c r="T87" s="76"/>
      <c r="U87" s="76"/>
      <c r="V87" s="92">
        <v>860</v>
      </c>
      <c r="W87" s="92">
        <v>860</v>
      </c>
      <c r="X87" s="92">
        <v>5356</v>
      </c>
      <c r="Y87" s="92">
        <v>5356</v>
      </c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92">
        <v>13902.14</v>
      </c>
      <c r="AM87" s="92">
        <v>13902.14</v>
      </c>
      <c r="AN87" s="76"/>
      <c r="AO87" s="76"/>
      <c r="AP87" s="76"/>
      <c r="AQ87" s="76"/>
      <c r="AR87" s="76">
        <v>812</v>
      </c>
      <c r="AS87" s="76">
        <v>812</v>
      </c>
      <c r="AT87" s="76"/>
      <c r="AU87" s="76"/>
      <c r="AV87" s="76">
        <v>2</v>
      </c>
      <c r="AW87" s="76">
        <v>2</v>
      </c>
      <c r="AX87" s="76"/>
      <c r="AY87" s="76"/>
      <c r="AZ87" s="76"/>
      <c r="BA87" s="76"/>
      <c r="BB87" s="76"/>
      <c r="BC87" s="76"/>
      <c r="BD87" s="92">
        <v>30733.06</v>
      </c>
      <c r="BE87" s="92">
        <v>30733.06</v>
      </c>
      <c r="BF87" s="92">
        <v>-3583</v>
      </c>
      <c r="BG87" s="92">
        <v>8337</v>
      </c>
      <c r="BH87" s="92">
        <v>9279</v>
      </c>
      <c r="BI87" s="92">
        <v>9279</v>
      </c>
      <c r="BJ87" s="76"/>
      <c r="BK87" s="76"/>
      <c r="BL87" s="68">
        <f t="shared" si="14"/>
        <v>59155.17</v>
      </c>
      <c r="BM87" s="68">
        <f t="shared" si="15"/>
        <v>71075.17</v>
      </c>
    </row>
    <row r="88" spans="1:65" ht="15" customHeight="1" x14ac:dyDescent="0.25">
      <c r="A88" s="20" t="s">
        <v>302</v>
      </c>
      <c r="B88" s="76"/>
      <c r="C88" s="76"/>
      <c r="D88" s="76"/>
      <c r="E88" s="76"/>
      <c r="F88" s="76"/>
      <c r="G88" s="76"/>
      <c r="H88" s="92">
        <v>1730</v>
      </c>
      <c r="I88" s="92">
        <v>1893</v>
      </c>
      <c r="J88" s="76"/>
      <c r="K88" s="76"/>
      <c r="L88" s="76"/>
      <c r="M88" s="76"/>
      <c r="N88" s="76"/>
      <c r="O88" s="76"/>
      <c r="P88" s="76"/>
      <c r="Q88" s="76"/>
      <c r="R88" s="92">
        <v>217.45</v>
      </c>
      <c r="S88" s="92">
        <v>150.79</v>
      </c>
      <c r="T88" s="76"/>
      <c r="U88" s="76"/>
      <c r="V88" s="92">
        <v>-858</v>
      </c>
      <c r="W88" s="92">
        <v>-869</v>
      </c>
      <c r="X88" s="92">
        <v>5248</v>
      </c>
      <c r="Y88" s="92">
        <v>5094</v>
      </c>
      <c r="Z88" s="76"/>
      <c r="AA88" s="76"/>
      <c r="AB88" s="76"/>
      <c r="AC88" s="76"/>
      <c r="AD88" s="76"/>
      <c r="AE88" s="76"/>
      <c r="AF88" s="76"/>
      <c r="AG88" s="76"/>
      <c r="AH88" s="76"/>
      <c r="AI88" s="76"/>
      <c r="AJ88" s="76"/>
      <c r="AK88" s="76"/>
      <c r="AL88" s="92">
        <v>14047.76</v>
      </c>
      <c r="AM88" s="92">
        <v>13015.64</v>
      </c>
      <c r="AN88" s="76"/>
      <c r="AO88" s="76"/>
      <c r="AP88" s="76"/>
      <c r="AQ88" s="76"/>
      <c r="AR88" s="76">
        <v>579</v>
      </c>
      <c r="AS88" s="76">
        <v>419</v>
      </c>
      <c r="AT88" s="76"/>
      <c r="AU88" s="76"/>
      <c r="AV88" s="76">
        <v>2</v>
      </c>
      <c r="AW88" s="76">
        <v>2</v>
      </c>
      <c r="AX88" s="76"/>
      <c r="AY88" s="76"/>
      <c r="AZ88" s="76"/>
      <c r="BA88" s="76"/>
      <c r="BB88" s="76"/>
      <c r="BC88" s="76"/>
      <c r="BD88" s="92">
        <v>25877.41</v>
      </c>
      <c r="BE88" s="92">
        <v>29080.87</v>
      </c>
      <c r="BF88" s="92">
        <v>0</v>
      </c>
      <c r="BG88" s="92">
        <v>11842</v>
      </c>
      <c r="BH88" s="92">
        <v>8706</v>
      </c>
      <c r="BI88" s="92">
        <v>9156</v>
      </c>
      <c r="BJ88" s="76"/>
      <c r="BK88" s="76"/>
      <c r="BL88" s="68">
        <f t="shared" si="14"/>
        <v>55549.619999999995</v>
      </c>
      <c r="BM88" s="68">
        <f t="shared" si="15"/>
        <v>69784.3</v>
      </c>
    </row>
    <row r="89" spans="1:65" s="7" customFormat="1" x14ac:dyDescent="0.25">
      <c r="A89" s="3" t="s">
        <v>303</v>
      </c>
      <c r="B89" s="10"/>
      <c r="C89" s="10"/>
      <c r="D89" s="10"/>
      <c r="E89" s="10"/>
      <c r="F89" s="10"/>
      <c r="G89" s="10"/>
      <c r="H89" s="10">
        <v>-2</v>
      </c>
      <c r="I89" s="10">
        <v>-24</v>
      </c>
      <c r="J89" s="10"/>
      <c r="K89" s="10"/>
      <c r="L89" s="10"/>
      <c r="M89" s="10"/>
      <c r="N89" s="10"/>
      <c r="O89" s="10"/>
      <c r="P89" s="10"/>
      <c r="Q89" s="10"/>
      <c r="R89" s="10">
        <v>58.58</v>
      </c>
      <c r="S89" s="10">
        <v>125.25</v>
      </c>
      <c r="T89" s="10"/>
      <c r="U89" s="10"/>
      <c r="V89" s="10">
        <v>-8</v>
      </c>
      <c r="W89" s="10">
        <v>-8</v>
      </c>
      <c r="X89" s="10">
        <v>954</v>
      </c>
      <c r="Y89" s="10">
        <v>1381</v>
      </c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>
        <v>1274.1600000000001</v>
      </c>
      <c r="AM89" s="10">
        <v>3199.63</v>
      </c>
      <c r="AN89" s="10"/>
      <c r="AO89" s="10"/>
      <c r="AP89" s="10"/>
      <c r="AQ89" s="10"/>
      <c r="AR89" s="10">
        <v>234</v>
      </c>
      <c r="AS89" s="10">
        <v>394</v>
      </c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>
        <v>2074.33</v>
      </c>
      <c r="BE89" s="10">
        <v>5032.24</v>
      </c>
      <c r="BF89" s="10">
        <v>-971</v>
      </c>
      <c r="BG89" s="10">
        <v>1292</v>
      </c>
      <c r="BH89" s="10">
        <v>675</v>
      </c>
      <c r="BI89" s="10">
        <v>1149</v>
      </c>
      <c r="BJ89" s="10"/>
      <c r="BK89" s="10"/>
      <c r="BL89" s="63">
        <f t="shared" si="14"/>
        <v>4289.07</v>
      </c>
      <c r="BM89" s="63">
        <f t="shared" si="15"/>
        <v>12541.119999999999</v>
      </c>
    </row>
    <row r="90" spans="1:65" x14ac:dyDescent="0.25">
      <c r="A90" s="13"/>
    </row>
    <row r="91" spans="1:65" x14ac:dyDescent="0.25">
      <c r="A91" s="27" t="s">
        <v>189</v>
      </c>
    </row>
    <row r="92" spans="1:65" x14ac:dyDescent="0.25">
      <c r="A92" s="3" t="s">
        <v>0</v>
      </c>
      <c r="B92" s="147" t="s">
        <v>1</v>
      </c>
      <c r="C92" s="148"/>
      <c r="D92" s="147" t="s">
        <v>233</v>
      </c>
      <c r="E92" s="148"/>
      <c r="F92" s="147" t="s">
        <v>2</v>
      </c>
      <c r="G92" s="148"/>
      <c r="H92" s="147" t="s">
        <v>3</v>
      </c>
      <c r="I92" s="148"/>
      <c r="J92" s="147" t="s">
        <v>242</v>
      </c>
      <c r="K92" s="148"/>
      <c r="L92" s="147" t="s">
        <v>234</v>
      </c>
      <c r="M92" s="148"/>
      <c r="N92" s="147" t="s">
        <v>5</v>
      </c>
      <c r="O92" s="148"/>
      <c r="P92" s="147" t="s">
        <v>4</v>
      </c>
      <c r="Q92" s="148"/>
      <c r="R92" s="147" t="s">
        <v>6</v>
      </c>
      <c r="S92" s="148"/>
      <c r="T92" s="147" t="s">
        <v>254</v>
      </c>
      <c r="U92" s="148"/>
      <c r="V92" s="147" t="s">
        <v>7</v>
      </c>
      <c r="W92" s="148"/>
      <c r="X92" s="147" t="s">
        <v>8</v>
      </c>
      <c r="Y92" s="148"/>
      <c r="Z92" s="147" t="s">
        <v>9</v>
      </c>
      <c r="AA92" s="148"/>
      <c r="AB92" s="147" t="s">
        <v>241</v>
      </c>
      <c r="AC92" s="148"/>
      <c r="AD92" s="147" t="s">
        <v>10</v>
      </c>
      <c r="AE92" s="148"/>
      <c r="AF92" s="147" t="s">
        <v>11</v>
      </c>
      <c r="AG92" s="148"/>
      <c r="AH92" s="147" t="s">
        <v>235</v>
      </c>
      <c r="AI92" s="148"/>
      <c r="AJ92" s="147" t="s">
        <v>253</v>
      </c>
      <c r="AK92" s="148"/>
      <c r="AL92" s="147" t="s">
        <v>12</v>
      </c>
      <c r="AM92" s="148"/>
      <c r="AN92" s="147" t="s">
        <v>236</v>
      </c>
      <c r="AO92" s="148"/>
      <c r="AP92" s="147" t="s">
        <v>237</v>
      </c>
      <c r="AQ92" s="148"/>
      <c r="AR92" s="147" t="s">
        <v>240</v>
      </c>
      <c r="AS92" s="148"/>
      <c r="AT92" s="147" t="s">
        <v>13</v>
      </c>
      <c r="AU92" s="148"/>
      <c r="AV92" s="147" t="s">
        <v>14</v>
      </c>
      <c r="AW92" s="148"/>
      <c r="AX92" s="147" t="s">
        <v>15</v>
      </c>
      <c r="AY92" s="148"/>
      <c r="AZ92" s="147" t="s">
        <v>16</v>
      </c>
      <c r="BA92" s="148"/>
      <c r="BB92" s="147" t="s">
        <v>17</v>
      </c>
      <c r="BC92" s="148"/>
      <c r="BD92" s="147" t="s">
        <v>238</v>
      </c>
      <c r="BE92" s="148"/>
      <c r="BF92" s="147" t="s">
        <v>239</v>
      </c>
      <c r="BG92" s="148"/>
      <c r="BH92" s="147" t="s">
        <v>18</v>
      </c>
      <c r="BI92" s="148"/>
      <c r="BJ92" s="147" t="s">
        <v>19</v>
      </c>
      <c r="BK92" s="148"/>
      <c r="BL92" s="149" t="s">
        <v>20</v>
      </c>
      <c r="BM92" s="150"/>
    </row>
    <row r="93" spans="1:65" ht="30" x14ac:dyDescent="0.25">
      <c r="A93" s="3"/>
      <c r="B93" s="53" t="s">
        <v>243</v>
      </c>
      <c r="C93" s="54" t="s">
        <v>244</v>
      </c>
      <c r="D93" s="53" t="s">
        <v>243</v>
      </c>
      <c r="E93" s="54" t="s">
        <v>244</v>
      </c>
      <c r="F93" s="53" t="s">
        <v>243</v>
      </c>
      <c r="G93" s="54" t="s">
        <v>244</v>
      </c>
      <c r="H93" s="53" t="s">
        <v>243</v>
      </c>
      <c r="I93" s="54" t="s">
        <v>244</v>
      </c>
      <c r="J93" s="53" t="s">
        <v>243</v>
      </c>
      <c r="K93" s="54" t="s">
        <v>244</v>
      </c>
      <c r="L93" s="53" t="s">
        <v>243</v>
      </c>
      <c r="M93" s="54" t="s">
        <v>244</v>
      </c>
      <c r="N93" s="53" t="s">
        <v>243</v>
      </c>
      <c r="O93" s="54" t="s">
        <v>244</v>
      </c>
      <c r="P93" s="53" t="s">
        <v>243</v>
      </c>
      <c r="Q93" s="54" t="s">
        <v>244</v>
      </c>
      <c r="R93" s="53" t="s">
        <v>243</v>
      </c>
      <c r="S93" s="54" t="s">
        <v>244</v>
      </c>
      <c r="T93" s="53" t="s">
        <v>243</v>
      </c>
      <c r="U93" s="54" t="s">
        <v>244</v>
      </c>
      <c r="V93" s="53" t="s">
        <v>243</v>
      </c>
      <c r="W93" s="54" t="s">
        <v>244</v>
      </c>
      <c r="X93" s="53" t="s">
        <v>243</v>
      </c>
      <c r="Y93" s="54" t="s">
        <v>244</v>
      </c>
      <c r="Z93" s="53" t="s">
        <v>243</v>
      </c>
      <c r="AA93" s="54" t="s">
        <v>244</v>
      </c>
      <c r="AB93" s="53" t="s">
        <v>243</v>
      </c>
      <c r="AC93" s="54" t="s">
        <v>244</v>
      </c>
      <c r="AD93" s="53" t="s">
        <v>243</v>
      </c>
      <c r="AE93" s="54" t="s">
        <v>244</v>
      </c>
      <c r="AF93" s="53" t="s">
        <v>243</v>
      </c>
      <c r="AG93" s="54" t="s">
        <v>244</v>
      </c>
      <c r="AH93" s="53" t="s">
        <v>243</v>
      </c>
      <c r="AI93" s="54" t="s">
        <v>244</v>
      </c>
      <c r="AJ93" s="53" t="s">
        <v>243</v>
      </c>
      <c r="AK93" s="54" t="s">
        <v>244</v>
      </c>
      <c r="AL93" s="53" t="s">
        <v>243</v>
      </c>
      <c r="AM93" s="54" t="s">
        <v>244</v>
      </c>
      <c r="AN93" s="53" t="s">
        <v>243</v>
      </c>
      <c r="AO93" s="54" t="s">
        <v>244</v>
      </c>
      <c r="AP93" s="53" t="s">
        <v>243</v>
      </c>
      <c r="AQ93" s="54" t="s">
        <v>244</v>
      </c>
      <c r="AR93" s="53" t="s">
        <v>243</v>
      </c>
      <c r="AS93" s="54" t="s">
        <v>244</v>
      </c>
      <c r="AT93" s="53" t="s">
        <v>243</v>
      </c>
      <c r="AU93" s="54" t="s">
        <v>244</v>
      </c>
      <c r="AV93" s="53" t="s">
        <v>243</v>
      </c>
      <c r="AW93" s="54" t="s">
        <v>244</v>
      </c>
      <c r="AX93" s="53" t="s">
        <v>243</v>
      </c>
      <c r="AY93" s="54" t="s">
        <v>244</v>
      </c>
      <c r="AZ93" s="53" t="s">
        <v>243</v>
      </c>
      <c r="BA93" s="54" t="s">
        <v>244</v>
      </c>
      <c r="BB93" s="53" t="s">
        <v>243</v>
      </c>
      <c r="BC93" s="54" t="s">
        <v>244</v>
      </c>
      <c r="BD93" s="53" t="s">
        <v>243</v>
      </c>
      <c r="BE93" s="54" t="s">
        <v>244</v>
      </c>
      <c r="BF93" s="53" t="s">
        <v>243</v>
      </c>
      <c r="BG93" s="54" t="s">
        <v>244</v>
      </c>
      <c r="BH93" s="53" t="s">
        <v>243</v>
      </c>
      <c r="BI93" s="54" t="s">
        <v>244</v>
      </c>
      <c r="BJ93" s="53" t="s">
        <v>243</v>
      </c>
      <c r="BK93" s="54" t="s">
        <v>244</v>
      </c>
      <c r="BL93" s="105" t="s">
        <v>243</v>
      </c>
      <c r="BM93" s="106" t="s">
        <v>244</v>
      </c>
    </row>
    <row r="94" spans="1:65" x14ac:dyDescent="0.25">
      <c r="A94" s="20" t="s">
        <v>297</v>
      </c>
      <c r="B94" s="76">
        <f>B105-B83-B72-B61-B39-B28-B17-B6-B50</f>
        <v>969</v>
      </c>
      <c r="C94" s="76">
        <f t="shared" ref="C94:AE94" si="16">C105-C83-C72-C61-C39-C28-C17-C6-C50</f>
        <v>1509</v>
      </c>
      <c r="D94" s="76">
        <f t="shared" si="16"/>
        <v>0</v>
      </c>
      <c r="E94" s="76">
        <f t="shared" si="16"/>
        <v>0</v>
      </c>
      <c r="F94" s="76">
        <f t="shared" si="16"/>
        <v>0</v>
      </c>
      <c r="G94" s="76">
        <f t="shared" si="16"/>
        <v>0</v>
      </c>
      <c r="H94" s="76">
        <f t="shared" si="16"/>
        <v>10405</v>
      </c>
      <c r="I94" s="76">
        <f t="shared" si="16"/>
        <v>17356</v>
      </c>
      <c r="J94" s="76">
        <f t="shared" si="16"/>
        <v>0</v>
      </c>
      <c r="K94" s="76">
        <f t="shared" si="16"/>
        <v>0</v>
      </c>
      <c r="L94" s="76">
        <f t="shared" si="16"/>
        <v>446</v>
      </c>
      <c r="M94" s="76">
        <f t="shared" si="16"/>
        <v>645</v>
      </c>
      <c r="N94" s="76">
        <f t="shared" si="16"/>
        <v>12623.29</v>
      </c>
      <c r="O94" s="76">
        <f t="shared" si="16"/>
        <v>15133.77</v>
      </c>
      <c r="P94" s="76">
        <f t="shared" si="16"/>
        <v>73.449999999999818</v>
      </c>
      <c r="Q94" s="76">
        <f t="shared" si="16"/>
        <v>98.549999999999272</v>
      </c>
      <c r="R94" s="76">
        <f t="shared" si="16"/>
        <v>8715.7400000000016</v>
      </c>
      <c r="S94" s="76">
        <f t="shared" si="16"/>
        <v>11982.879999999983</v>
      </c>
      <c r="T94" s="76">
        <f t="shared" si="16"/>
        <v>4185</v>
      </c>
      <c r="U94" s="76">
        <f t="shared" si="16"/>
        <v>5271</v>
      </c>
      <c r="V94" s="76">
        <f t="shared" si="16"/>
        <v>5362</v>
      </c>
      <c r="W94" s="76">
        <f t="shared" si="16"/>
        <v>7850</v>
      </c>
      <c r="X94" s="76">
        <f t="shared" si="16"/>
        <v>8542</v>
      </c>
      <c r="Y94" s="76">
        <f t="shared" si="16"/>
        <v>15489</v>
      </c>
      <c r="Z94" s="76">
        <f t="shared" si="16"/>
        <v>3956</v>
      </c>
      <c r="AA94" s="76">
        <f t="shared" si="16"/>
        <v>6338</v>
      </c>
      <c r="AB94" s="76">
        <f t="shared" si="16"/>
        <v>90</v>
      </c>
      <c r="AC94" s="76">
        <f t="shared" si="16"/>
        <v>103</v>
      </c>
      <c r="AD94" s="76">
        <f t="shared" si="16"/>
        <v>390.27000000000135</v>
      </c>
      <c r="AE94" s="76">
        <f t="shared" si="16"/>
        <v>685.6399999999976</v>
      </c>
      <c r="AF94" s="76">
        <f t="shared" ref="AF94:BK94" si="17">AF105-AF83-AF72-AF61-AF39-AF28-AF17-AF6-AF50</f>
        <v>29.25</v>
      </c>
      <c r="AG94" s="76">
        <f t="shared" si="17"/>
        <v>50.630000000001928</v>
      </c>
      <c r="AH94" s="76">
        <f t="shared" si="17"/>
        <v>5.3399999999965075</v>
      </c>
      <c r="AI94" s="76">
        <f t="shared" si="17"/>
        <v>13.010000000002037</v>
      </c>
      <c r="AJ94" s="76">
        <f t="shared" si="17"/>
        <v>0</v>
      </c>
      <c r="AK94" s="76">
        <f t="shared" si="17"/>
        <v>0</v>
      </c>
      <c r="AL94" s="76">
        <f t="shared" si="17"/>
        <v>4008.2499999999709</v>
      </c>
      <c r="AM94" s="76">
        <f t="shared" si="17"/>
        <v>6997.820000000007</v>
      </c>
      <c r="AN94" s="76">
        <f t="shared" si="17"/>
        <v>142</v>
      </c>
      <c r="AO94" s="76">
        <f t="shared" si="17"/>
        <v>257</v>
      </c>
      <c r="AP94" s="76">
        <f t="shared" si="17"/>
        <v>104</v>
      </c>
      <c r="AQ94" s="76">
        <f t="shared" si="17"/>
        <v>592</v>
      </c>
      <c r="AR94" s="76">
        <f t="shared" si="17"/>
        <v>634</v>
      </c>
      <c r="AS94" s="76">
        <f t="shared" si="17"/>
        <v>2507</v>
      </c>
      <c r="AT94" s="76">
        <f t="shared" si="17"/>
        <v>80.480000000008658</v>
      </c>
      <c r="AU94" s="76">
        <f t="shared" si="17"/>
        <v>3305.8799999999974</v>
      </c>
      <c r="AV94" s="76">
        <f t="shared" ref="AV94:AW94" si="18">AV105-AV83-AV72-AV61-AV39-AV28-AV17-AV6-AV50</f>
        <v>580</v>
      </c>
      <c r="AW94" s="76">
        <f t="shared" si="18"/>
        <v>1057</v>
      </c>
      <c r="AX94" s="76">
        <f t="shared" si="17"/>
        <v>80</v>
      </c>
      <c r="AY94" s="76">
        <f t="shared" si="17"/>
        <v>186</v>
      </c>
      <c r="AZ94" s="76">
        <f t="shared" si="17"/>
        <v>49</v>
      </c>
      <c r="BA94" s="76">
        <f t="shared" si="17"/>
        <v>63</v>
      </c>
      <c r="BB94" s="76">
        <f t="shared" si="17"/>
        <v>6223</v>
      </c>
      <c r="BC94" s="76">
        <f t="shared" si="17"/>
        <v>9118</v>
      </c>
      <c r="BD94" s="76">
        <f t="shared" si="17"/>
        <v>21247.429999999993</v>
      </c>
      <c r="BE94" s="76">
        <f t="shared" si="17"/>
        <v>38320.04999999993</v>
      </c>
      <c r="BF94" s="76">
        <f t="shared" si="17"/>
        <v>5448</v>
      </c>
      <c r="BG94" s="76">
        <f t="shared" si="17"/>
        <v>9972</v>
      </c>
      <c r="BH94" s="76">
        <f t="shared" si="17"/>
        <v>6887</v>
      </c>
      <c r="BI94" s="76">
        <f t="shared" si="17"/>
        <v>11408</v>
      </c>
      <c r="BJ94" s="76">
        <f t="shared" si="17"/>
        <v>273</v>
      </c>
      <c r="BK94" s="76">
        <f t="shared" si="17"/>
        <v>463</v>
      </c>
      <c r="BL94" s="68">
        <f t="shared" ref="BL94:BL100" si="19">SUM(B94+D94+F94+H94+J94+L94+N94+P94+R94+T94+V94+X94+Z94+AB94+AD94+AF94+AH94+AJ94+AL94+AN94+AP94+AR94+AT94+AV94+AX94+AZ94+BB94+BD94+BF94+BH94+BJ94)</f>
        <v>101548.49999999997</v>
      </c>
      <c r="BM94" s="68">
        <f t="shared" ref="BM94:BM100" si="20">SUM(C94+E94+G94+I94+K94+M94+O94+Q94+S94+U94+W94+Y94+AA94+AC94+AE94+AG94+AI94+AK94+AM94+AO94+AQ94+AS94+AU94+AW94+AY94+BA94+BC94+BE94+BG94+BI94+BK94)</f>
        <v>166772.22999999992</v>
      </c>
    </row>
    <row r="95" spans="1:65" x14ac:dyDescent="0.25">
      <c r="A95" s="20" t="s">
        <v>298</v>
      </c>
      <c r="B95" s="76">
        <f t="shared" ref="B95:AE95" si="21">B106-B84-B73-B62-B40-B29-B18-B7-B51</f>
        <v>0</v>
      </c>
      <c r="C95" s="76">
        <f t="shared" si="21"/>
        <v>0</v>
      </c>
      <c r="D95" s="76">
        <f t="shared" si="21"/>
        <v>0</v>
      </c>
      <c r="E95" s="76">
        <f t="shared" si="21"/>
        <v>0</v>
      </c>
      <c r="F95" s="76">
        <f t="shared" si="21"/>
        <v>0</v>
      </c>
      <c r="G95" s="76">
        <f t="shared" si="21"/>
        <v>0</v>
      </c>
      <c r="H95" s="76">
        <f t="shared" si="21"/>
        <v>0</v>
      </c>
      <c r="I95" s="76">
        <f t="shared" si="21"/>
        <v>0.43000000000000682</v>
      </c>
      <c r="J95" s="76">
        <f t="shared" si="21"/>
        <v>0</v>
      </c>
      <c r="K95" s="76">
        <f t="shared" si="21"/>
        <v>0</v>
      </c>
      <c r="L95" s="76">
        <f t="shared" si="21"/>
        <v>1</v>
      </c>
      <c r="M95" s="76">
        <f t="shared" si="21"/>
        <v>1</v>
      </c>
      <c r="N95" s="76">
        <f t="shared" si="21"/>
        <v>0</v>
      </c>
      <c r="O95" s="76">
        <f t="shared" si="21"/>
        <v>0</v>
      </c>
      <c r="P95" s="76">
        <f t="shared" si="21"/>
        <v>-9.9999999999980105E-3</v>
      </c>
      <c r="Q95" s="76">
        <f t="shared" si="21"/>
        <v>-9.9999999999909051E-3</v>
      </c>
      <c r="R95" s="76">
        <f t="shared" si="21"/>
        <v>0</v>
      </c>
      <c r="S95" s="76">
        <f t="shared" si="21"/>
        <v>1.1368683772161603E-13</v>
      </c>
      <c r="T95" s="76">
        <f t="shared" si="21"/>
        <v>0</v>
      </c>
      <c r="U95" s="76">
        <f t="shared" si="21"/>
        <v>1</v>
      </c>
      <c r="V95" s="76">
        <f t="shared" si="21"/>
        <v>0</v>
      </c>
      <c r="W95" s="76">
        <f t="shared" si="21"/>
        <v>0</v>
      </c>
      <c r="X95" s="76">
        <f t="shared" si="21"/>
        <v>0</v>
      </c>
      <c r="Y95" s="76">
        <f t="shared" si="21"/>
        <v>0</v>
      </c>
      <c r="Z95" s="76">
        <f t="shared" si="21"/>
        <v>-1</v>
      </c>
      <c r="AA95" s="76">
        <f t="shared" si="21"/>
        <v>0</v>
      </c>
      <c r="AB95" s="76">
        <f t="shared" si="21"/>
        <v>0</v>
      </c>
      <c r="AC95" s="76">
        <f t="shared" si="21"/>
        <v>1</v>
      </c>
      <c r="AD95" s="76">
        <f t="shared" si="21"/>
        <v>0</v>
      </c>
      <c r="AE95" s="76">
        <f t="shared" si="21"/>
        <v>-9.9999999999980105E-3</v>
      </c>
      <c r="AF95" s="76">
        <f t="shared" ref="AF95:BK95" si="22">AF106-AF84-AF73-AF62-AF40-AF29-AF18-AF7-AF51</f>
        <v>-1.1368683772161603E-13</v>
      </c>
      <c r="AG95" s="76">
        <f t="shared" si="22"/>
        <v>0</v>
      </c>
      <c r="AH95" s="76">
        <f t="shared" si="22"/>
        <v>0</v>
      </c>
      <c r="AI95" s="76">
        <f t="shared" si="22"/>
        <v>0</v>
      </c>
      <c r="AJ95" s="76">
        <f t="shared" si="22"/>
        <v>0</v>
      </c>
      <c r="AK95" s="76">
        <f t="shared" si="22"/>
        <v>0</v>
      </c>
      <c r="AL95" s="76">
        <f t="shared" si="22"/>
        <v>27.059999999999945</v>
      </c>
      <c r="AM95" s="76">
        <f t="shared" si="22"/>
        <v>318.49000000000069</v>
      </c>
      <c r="AN95" s="76">
        <f t="shared" si="22"/>
        <v>0</v>
      </c>
      <c r="AO95" s="76">
        <f t="shared" si="22"/>
        <v>0</v>
      </c>
      <c r="AP95" s="76">
        <f t="shared" si="22"/>
        <v>4</v>
      </c>
      <c r="AQ95" s="76">
        <f t="shared" si="22"/>
        <v>34</v>
      </c>
      <c r="AR95" s="76">
        <f t="shared" si="22"/>
        <v>0</v>
      </c>
      <c r="AS95" s="76">
        <f t="shared" si="22"/>
        <v>0</v>
      </c>
      <c r="AT95" s="76">
        <f t="shared" si="22"/>
        <v>2.8421709430404007E-14</v>
      </c>
      <c r="AU95" s="76">
        <f t="shared" si="22"/>
        <v>52.67999999999995</v>
      </c>
      <c r="AV95" s="76">
        <f t="shared" ref="AV95:AW95" si="23">AV106-AV84-AV73-AV62-AV40-AV29-AV18-AV7-AV51</f>
        <v>0</v>
      </c>
      <c r="AW95" s="76">
        <f t="shared" si="23"/>
        <v>0</v>
      </c>
      <c r="AX95" s="76">
        <f t="shared" si="22"/>
        <v>-1</v>
      </c>
      <c r="AY95" s="76">
        <f t="shared" si="22"/>
        <v>0</v>
      </c>
      <c r="AZ95" s="76">
        <f t="shared" si="22"/>
        <v>0</v>
      </c>
      <c r="BA95" s="76">
        <f t="shared" si="22"/>
        <v>0</v>
      </c>
      <c r="BB95" s="76">
        <f t="shared" si="22"/>
        <v>116</v>
      </c>
      <c r="BC95" s="76">
        <f t="shared" si="22"/>
        <v>129</v>
      </c>
      <c r="BD95" s="76">
        <f t="shared" si="22"/>
        <v>97.950000000004593</v>
      </c>
      <c r="BE95" s="76">
        <f t="shared" si="22"/>
        <v>288.20000000000095</v>
      </c>
      <c r="BF95" s="76">
        <f t="shared" si="22"/>
        <v>113</v>
      </c>
      <c r="BG95" s="76">
        <f t="shared" si="22"/>
        <v>543</v>
      </c>
      <c r="BH95" s="76">
        <f t="shared" si="22"/>
        <v>-1</v>
      </c>
      <c r="BI95" s="76">
        <f t="shared" si="22"/>
        <v>49</v>
      </c>
      <c r="BJ95" s="76">
        <f t="shared" si="22"/>
        <v>0</v>
      </c>
      <c r="BK95" s="76">
        <f t="shared" si="22"/>
        <v>0</v>
      </c>
      <c r="BL95" s="68">
        <f t="shared" si="19"/>
        <v>356.00000000000443</v>
      </c>
      <c r="BM95" s="68">
        <f t="shared" si="20"/>
        <v>1417.7800000000018</v>
      </c>
    </row>
    <row r="96" spans="1:65" x14ac:dyDescent="0.25">
      <c r="A96" s="20" t="s">
        <v>299</v>
      </c>
      <c r="B96" s="76">
        <f t="shared" ref="B96:AE96" si="24">B107-B85-B74-B63-B41-B30-B19-B8-B52</f>
        <v>592</v>
      </c>
      <c r="C96" s="76">
        <f t="shared" si="24"/>
        <v>922</v>
      </c>
      <c r="D96" s="76">
        <f t="shared" si="24"/>
        <v>0</v>
      </c>
      <c r="E96" s="76">
        <f t="shared" si="24"/>
        <v>0</v>
      </c>
      <c r="F96" s="76">
        <f t="shared" si="24"/>
        <v>0</v>
      </c>
      <c r="G96" s="76">
        <f t="shared" si="24"/>
        <v>0</v>
      </c>
      <c r="H96" s="76">
        <f t="shared" si="24"/>
        <v>-6707</v>
      </c>
      <c r="I96" s="76">
        <f t="shared" si="24"/>
        <v>-11269</v>
      </c>
      <c r="J96" s="76">
        <f t="shared" si="24"/>
        <v>0</v>
      </c>
      <c r="K96" s="76">
        <f t="shared" si="24"/>
        <v>0</v>
      </c>
      <c r="L96" s="76">
        <f t="shared" si="24"/>
        <v>123</v>
      </c>
      <c r="M96" s="76">
        <f t="shared" si="24"/>
        <v>144</v>
      </c>
      <c r="N96" s="76">
        <f t="shared" si="24"/>
        <v>1339.55</v>
      </c>
      <c r="O96" s="76">
        <f t="shared" si="24"/>
        <v>3087.17</v>
      </c>
      <c r="P96" s="76">
        <f t="shared" si="24"/>
        <v>4.2000000000000455</v>
      </c>
      <c r="Q96" s="76">
        <f t="shared" si="24"/>
        <v>5.4699999999999704</v>
      </c>
      <c r="R96" s="76">
        <f t="shared" si="24"/>
        <v>5923.5800000000027</v>
      </c>
      <c r="S96" s="76">
        <f t="shared" si="24"/>
        <v>7120.32</v>
      </c>
      <c r="T96" s="76">
        <f t="shared" si="24"/>
        <v>919</v>
      </c>
      <c r="U96" s="76">
        <f t="shared" si="24"/>
        <v>1149</v>
      </c>
      <c r="V96" s="76">
        <f t="shared" si="24"/>
        <v>-2597</v>
      </c>
      <c r="W96" s="76">
        <f t="shared" si="24"/>
        <v>-2929</v>
      </c>
      <c r="X96" s="76">
        <f t="shared" si="24"/>
        <v>3219</v>
      </c>
      <c r="Y96" s="76">
        <f t="shared" si="24"/>
        <v>6337</v>
      </c>
      <c r="Z96" s="76">
        <f t="shared" si="24"/>
        <v>1005</v>
      </c>
      <c r="AA96" s="76">
        <f t="shared" si="24"/>
        <v>1711</v>
      </c>
      <c r="AB96" s="76">
        <f t="shared" si="24"/>
        <v>23</v>
      </c>
      <c r="AC96" s="76">
        <f t="shared" si="24"/>
        <v>29</v>
      </c>
      <c r="AD96" s="76">
        <f t="shared" si="24"/>
        <v>161.41000000000014</v>
      </c>
      <c r="AE96" s="76">
        <f t="shared" si="24"/>
        <v>254.12000000000023</v>
      </c>
      <c r="AF96" s="76">
        <f t="shared" ref="AF96:BK96" si="25">AF107-AF85-AF74-AF63-AF41-AF30-AF19-AF8-AF52</f>
        <v>-6.8300000000002683</v>
      </c>
      <c r="AG96" s="76">
        <f t="shared" si="25"/>
        <v>-16.100000000000193</v>
      </c>
      <c r="AH96" s="76">
        <f t="shared" si="25"/>
        <v>0.25999999999999091</v>
      </c>
      <c r="AI96" s="76">
        <f t="shared" si="25"/>
        <v>0.63000000000010914</v>
      </c>
      <c r="AJ96" s="76">
        <f t="shared" si="25"/>
        <v>0</v>
      </c>
      <c r="AK96" s="76">
        <f t="shared" si="25"/>
        <v>0</v>
      </c>
      <c r="AL96" s="76">
        <f t="shared" si="25"/>
        <v>306.28000000000429</v>
      </c>
      <c r="AM96" s="76">
        <f t="shared" si="25"/>
        <v>-68.420000000009168</v>
      </c>
      <c r="AN96" s="76">
        <f t="shared" si="25"/>
        <v>-7</v>
      </c>
      <c r="AO96" s="76">
        <f t="shared" si="25"/>
        <v>-13</v>
      </c>
      <c r="AP96" s="76">
        <f t="shared" si="25"/>
        <v>77</v>
      </c>
      <c r="AQ96" s="76">
        <f t="shared" si="25"/>
        <v>250</v>
      </c>
      <c r="AR96" s="76">
        <f t="shared" si="25"/>
        <v>58</v>
      </c>
      <c r="AS96" s="76">
        <f t="shared" si="25"/>
        <v>1425</v>
      </c>
      <c r="AT96" s="76">
        <f t="shared" si="25"/>
        <v>-37.190000000000964</v>
      </c>
      <c r="AU96" s="76">
        <f t="shared" si="25"/>
        <v>-2289.2199999999998</v>
      </c>
      <c r="AV96" s="76">
        <f t="shared" ref="AV96:AW96" si="26">AV107-AV85-AV74-AV63-AV41-AV30-AV19-AV8-AV52</f>
        <v>65</v>
      </c>
      <c r="AW96" s="76">
        <f t="shared" si="26"/>
        <v>127</v>
      </c>
      <c r="AX96" s="76">
        <f t="shared" si="25"/>
        <v>15</v>
      </c>
      <c r="AY96" s="76">
        <f t="shared" si="25"/>
        <v>32</v>
      </c>
      <c r="AZ96" s="76">
        <f t="shared" si="25"/>
        <v>42</v>
      </c>
      <c r="BA96" s="76">
        <f t="shared" si="25"/>
        <v>-519</v>
      </c>
      <c r="BB96" s="76">
        <f t="shared" si="25"/>
        <v>2351</v>
      </c>
      <c r="BC96" s="76">
        <f t="shared" si="25"/>
        <v>3254</v>
      </c>
      <c r="BD96" s="76">
        <f t="shared" si="25"/>
        <v>4457.2899999999936</v>
      </c>
      <c r="BE96" s="76">
        <f t="shared" si="25"/>
        <v>7424.7099999999919</v>
      </c>
      <c r="BF96" s="76">
        <f t="shared" si="25"/>
        <v>698</v>
      </c>
      <c r="BG96" s="76">
        <f t="shared" si="25"/>
        <v>1489</v>
      </c>
      <c r="BH96" s="76">
        <f t="shared" si="25"/>
        <v>561</v>
      </c>
      <c r="BI96" s="76">
        <f t="shared" si="25"/>
        <v>926</v>
      </c>
      <c r="BJ96" s="76">
        <f t="shared" si="25"/>
        <v>-86</v>
      </c>
      <c r="BK96" s="76">
        <f t="shared" si="25"/>
        <v>-36</v>
      </c>
      <c r="BL96" s="68">
        <f t="shared" si="19"/>
        <v>12499.55</v>
      </c>
      <c r="BM96" s="68">
        <f t="shared" si="20"/>
        <v>18547.679999999982</v>
      </c>
    </row>
    <row r="97" spans="1:65" s="7" customFormat="1" x14ac:dyDescent="0.25">
      <c r="A97" s="3" t="s">
        <v>300</v>
      </c>
      <c r="B97" s="10">
        <f t="shared" ref="B97:AE97" si="27">B108-B86-B75-B64-B42-B31-B20-B9-B53</f>
        <v>377</v>
      </c>
      <c r="C97" s="10">
        <f t="shared" si="27"/>
        <v>587</v>
      </c>
      <c r="D97" s="10">
        <f t="shared" si="27"/>
        <v>0</v>
      </c>
      <c r="E97" s="10">
        <f t="shared" si="27"/>
        <v>0</v>
      </c>
      <c r="F97" s="10">
        <f t="shared" si="27"/>
        <v>0</v>
      </c>
      <c r="G97" s="10">
        <f t="shared" si="27"/>
        <v>0</v>
      </c>
      <c r="H97" s="10">
        <f t="shared" si="27"/>
        <v>3695</v>
      </c>
      <c r="I97" s="10">
        <f t="shared" si="27"/>
        <v>6087</v>
      </c>
      <c r="J97" s="10">
        <f t="shared" si="27"/>
        <v>0</v>
      </c>
      <c r="K97" s="10">
        <f t="shared" si="27"/>
        <v>0</v>
      </c>
      <c r="L97" s="10">
        <f t="shared" si="27"/>
        <v>324</v>
      </c>
      <c r="M97" s="10">
        <f t="shared" si="27"/>
        <v>502</v>
      </c>
      <c r="N97" s="10">
        <f t="shared" si="27"/>
        <v>7985.22</v>
      </c>
      <c r="O97" s="10">
        <f t="shared" si="27"/>
        <v>8149.74</v>
      </c>
      <c r="P97" s="10">
        <f t="shared" si="27"/>
        <v>69.240000000001146</v>
      </c>
      <c r="Q97" s="10">
        <f t="shared" si="27"/>
        <v>93.069999999999709</v>
      </c>
      <c r="R97" s="10">
        <f t="shared" si="27"/>
        <v>2792.1900000000023</v>
      </c>
      <c r="S97" s="10">
        <f t="shared" si="27"/>
        <v>4862.559999999994</v>
      </c>
      <c r="T97" s="10">
        <f t="shared" si="27"/>
        <v>3266</v>
      </c>
      <c r="U97" s="10">
        <f t="shared" si="27"/>
        <v>4122</v>
      </c>
      <c r="V97" s="10">
        <f t="shared" si="27"/>
        <v>2768</v>
      </c>
      <c r="W97" s="10">
        <f t="shared" si="27"/>
        <v>4920</v>
      </c>
      <c r="X97" s="10">
        <f t="shared" si="27"/>
        <v>5323</v>
      </c>
      <c r="Y97" s="10">
        <f t="shared" si="27"/>
        <v>9152</v>
      </c>
      <c r="Z97" s="10">
        <f t="shared" si="27"/>
        <v>2949</v>
      </c>
      <c r="AA97" s="10">
        <f t="shared" si="27"/>
        <v>4627</v>
      </c>
      <c r="AB97" s="10">
        <f t="shared" si="27"/>
        <v>68</v>
      </c>
      <c r="AC97" s="10">
        <f t="shared" si="27"/>
        <v>76</v>
      </c>
      <c r="AD97" s="10">
        <f t="shared" si="27"/>
        <v>0</v>
      </c>
      <c r="AE97" s="10">
        <f t="shared" si="27"/>
        <v>0</v>
      </c>
      <c r="AF97" s="10">
        <f t="shared" ref="AF97:BK97" si="28">AF108-AF86-AF75-AF64-AF42-AF31-AF20-AF9-AF53</f>
        <v>21.919999999999845</v>
      </c>
      <c r="AG97" s="10">
        <f t="shared" si="28"/>
        <v>34.53000000000111</v>
      </c>
      <c r="AH97" s="10">
        <f t="shared" si="28"/>
        <v>5.0900000000001455</v>
      </c>
      <c r="AI97" s="10">
        <f t="shared" si="28"/>
        <v>12.380000000001019</v>
      </c>
      <c r="AJ97" s="10">
        <f t="shared" si="28"/>
        <v>0</v>
      </c>
      <c r="AK97" s="10">
        <f t="shared" si="28"/>
        <v>0</v>
      </c>
      <c r="AL97" s="10">
        <f t="shared" si="28"/>
        <v>3729.0299999999988</v>
      </c>
      <c r="AM97" s="10">
        <f t="shared" si="28"/>
        <v>7384.7199999999139</v>
      </c>
      <c r="AN97" s="10">
        <f t="shared" si="28"/>
        <v>135</v>
      </c>
      <c r="AO97" s="10">
        <f t="shared" si="28"/>
        <v>244</v>
      </c>
      <c r="AP97" s="10">
        <f t="shared" si="28"/>
        <v>31</v>
      </c>
      <c r="AQ97" s="10">
        <f t="shared" si="28"/>
        <v>377</v>
      </c>
      <c r="AR97" s="10">
        <f t="shared" si="28"/>
        <v>577</v>
      </c>
      <c r="AS97" s="10">
        <f t="shared" si="28"/>
        <v>1080</v>
      </c>
      <c r="AT97" s="10">
        <f t="shared" si="28"/>
        <v>0</v>
      </c>
      <c r="AU97" s="10">
        <f t="shared" si="28"/>
        <v>0</v>
      </c>
      <c r="AV97" s="10">
        <f t="shared" ref="AV97:AW99" si="29">AV108-AV86-AV75-AV64-AV42-AV31-AV20-AV9-AV53</f>
        <v>515</v>
      </c>
      <c r="AW97" s="10">
        <f t="shared" si="29"/>
        <v>930</v>
      </c>
      <c r="AX97" s="10">
        <f t="shared" si="28"/>
        <v>67</v>
      </c>
      <c r="AY97" s="10">
        <f t="shared" si="28"/>
        <v>153</v>
      </c>
      <c r="AZ97" s="10">
        <f t="shared" si="28"/>
        <v>7</v>
      </c>
      <c r="BA97" s="10">
        <f t="shared" si="28"/>
        <v>581</v>
      </c>
      <c r="BB97" s="10">
        <f t="shared" si="28"/>
        <v>7167</v>
      </c>
      <c r="BC97" s="10">
        <f t="shared" si="28"/>
        <v>5992</v>
      </c>
      <c r="BD97" s="10">
        <f t="shared" si="28"/>
        <v>0</v>
      </c>
      <c r="BE97" s="10">
        <f t="shared" si="28"/>
        <v>0</v>
      </c>
      <c r="BF97" s="10">
        <f t="shared" si="28"/>
        <v>4861</v>
      </c>
      <c r="BG97" s="10">
        <f t="shared" si="28"/>
        <v>9026</v>
      </c>
      <c r="BH97" s="10">
        <f t="shared" si="28"/>
        <v>6322</v>
      </c>
      <c r="BI97" s="10">
        <f t="shared" si="28"/>
        <v>10531</v>
      </c>
      <c r="BJ97" s="10">
        <f t="shared" si="28"/>
        <v>358</v>
      </c>
      <c r="BK97" s="10">
        <f t="shared" si="28"/>
        <v>498</v>
      </c>
      <c r="BL97" s="63">
        <f t="shared" si="19"/>
        <v>53412.69</v>
      </c>
      <c r="BM97" s="63">
        <f t="shared" si="20"/>
        <v>80021.999999999913</v>
      </c>
    </row>
    <row r="98" spans="1:65" x14ac:dyDescent="0.25">
      <c r="A98" s="20" t="s">
        <v>301</v>
      </c>
      <c r="B98" s="76">
        <f t="shared" ref="B98:AE98" si="30">B109-B87-B76-B65-B43-B32-B21-B10-B54</f>
        <v>436</v>
      </c>
      <c r="C98" s="76">
        <f t="shared" si="30"/>
        <v>436</v>
      </c>
      <c r="D98" s="76">
        <f t="shared" si="30"/>
        <v>0</v>
      </c>
      <c r="E98" s="76">
        <f t="shared" si="30"/>
        <v>0</v>
      </c>
      <c r="F98" s="76">
        <f t="shared" si="30"/>
        <v>0</v>
      </c>
      <c r="G98" s="76">
        <f t="shared" si="30"/>
        <v>0</v>
      </c>
      <c r="H98" s="76">
        <f t="shared" si="30"/>
        <v>23203</v>
      </c>
      <c r="I98" s="76">
        <f t="shared" si="30"/>
        <v>23203</v>
      </c>
      <c r="J98" s="76">
        <f t="shared" si="30"/>
        <v>0</v>
      </c>
      <c r="K98" s="76">
        <f t="shared" si="30"/>
        <v>0</v>
      </c>
      <c r="L98" s="76">
        <f t="shared" si="30"/>
        <v>-20</v>
      </c>
      <c r="M98" s="76">
        <f t="shared" si="30"/>
        <v>1310</v>
      </c>
      <c r="N98" s="76">
        <f t="shared" si="30"/>
        <v>26623.1</v>
      </c>
      <c r="O98" s="76">
        <f t="shared" si="30"/>
        <v>755213.58</v>
      </c>
      <c r="P98" s="76">
        <f t="shared" si="30"/>
        <v>52.430000000000291</v>
      </c>
      <c r="Q98" s="76">
        <f t="shared" si="30"/>
        <v>52.430000000000291</v>
      </c>
      <c r="R98" s="76">
        <f t="shared" si="30"/>
        <v>9991.3599999999933</v>
      </c>
      <c r="S98" s="76">
        <f t="shared" si="30"/>
        <v>10168.570000000014</v>
      </c>
      <c r="T98" s="76">
        <f t="shared" si="30"/>
        <v>3875</v>
      </c>
      <c r="U98" s="76">
        <f t="shared" si="30"/>
        <v>3875</v>
      </c>
      <c r="V98" s="76">
        <f t="shared" si="30"/>
        <v>20546</v>
      </c>
      <c r="W98" s="76">
        <f t="shared" si="30"/>
        <v>20546</v>
      </c>
      <c r="X98" s="76">
        <f t="shared" si="30"/>
        <v>54956</v>
      </c>
      <c r="Y98" s="76">
        <f t="shared" si="30"/>
        <v>54956</v>
      </c>
      <c r="Z98" s="76">
        <f t="shared" si="30"/>
        <v>2483</v>
      </c>
      <c r="AA98" s="76">
        <f t="shared" si="30"/>
        <v>13290</v>
      </c>
      <c r="AB98" s="76">
        <f t="shared" si="30"/>
        <v>271</v>
      </c>
      <c r="AC98" s="76">
        <f t="shared" si="30"/>
        <v>271</v>
      </c>
      <c r="AD98" s="76">
        <f t="shared" si="30"/>
        <v>4202.4299999999694</v>
      </c>
      <c r="AE98" s="76">
        <f t="shared" si="30"/>
        <v>4202.4299999999694</v>
      </c>
      <c r="AF98" s="76">
        <f t="shared" ref="AF98:BK98" si="31">AF109-AF87-AF76-AF65-AF43-AF32-AF21-AF10-AF54</f>
        <v>493.15000000002283</v>
      </c>
      <c r="AG98" s="76">
        <f t="shared" si="31"/>
        <v>493.15000000002283</v>
      </c>
      <c r="AH98" s="76">
        <f t="shared" si="31"/>
        <v>36.659999999998035</v>
      </c>
      <c r="AI98" s="76">
        <f t="shared" si="31"/>
        <v>36.659999999998035</v>
      </c>
      <c r="AJ98" s="76">
        <f t="shared" si="31"/>
        <v>0</v>
      </c>
      <c r="AK98" s="76">
        <f t="shared" si="31"/>
        <v>0</v>
      </c>
      <c r="AL98" s="76">
        <f t="shared" si="31"/>
        <v>56568.359999999695</v>
      </c>
      <c r="AM98" s="76">
        <f t="shared" si="31"/>
        <v>56567.559999999648</v>
      </c>
      <c r="AN98" s="76">
        <f t="shared" si="31"/>
        <v>196</v>
      </c>
      <c r="AO98" s="76">
        <f t="shared" si="31"/>
        <v>196</v>
      </c>
      <c r="AP98" s="76">
        <f t="shared" si="31"/>
        <v>6782</v>
      </c>
      <c r="AQ98" s="76">
        <f t="shared" si="31"/>
        <v>6782</v>
      </c>
      <c r="AR98" s="76">
        <f t="shared" si="31"/>
        <v>8972</v>
      </c>
      <c r="AS98" s="76">
        <f t="shared" si="31"/>
        <v>8972</v>
      </c>
      <c r="AT98" s="76">
        <f t="shared" si="31"/>
        <v>-133.26999999999998</v>
      </c>
      <c r="AU98" s="76">
        <f t="shared" si="31"/>
        <v>11502.320000000022</v>
      </c>
      <c r="AV98" s="76">
        <f t="shared" si="29"/>
        <v>7241</v>
      </c>
      <c r="AW98" s="76">
        <f t="shared" si="29"/>
        <v>7241</v>
      </c>
      <c r="AX98" s="76">
        <f t="shared" si="31"/>
        <v>1912</v>
      </c>
      <c r="AY98" s="76">
        <f t="shared" si="31"/>
        <v>1912</v>
      </c>
      <c r="AZ98" s="76">
        <f t="shared" si="31"/>
        <v>205</v>
      </c>
      <c r="BA98" s="76">
        <f t="shared" si="31"/>
        <v>205</v>
      </c>
      <c r="BB98" s="76">
        <f t="shared" si="31"/>
        <v>40355</v>
      </c>
      <c r="BC98" s="76">
        <f t="shared" si="31"/>
        <v>40355</v>
      </c>
      <c r="BD98" s="76">
        <f t="shared" si="31"/>
        <v>158017.35000000038</v>
      </c>
      <c r="BE98" s="76">
        <f t="shared" si="31"/>
        <v>158017.35000000038</v>
      </c>
      <c r="BF98" s="76">
        <f t="shared" si="31"/>
        <v>-19978</v>
      </c>
      <c r="BG98" s="76">
        <f t="shared" si="31"/>
        <v>38359</v>
      </c>
      <c r="BH98" s="76">
        <f t="shared" si="31"/>
        <v>54541</v>
      </c>
      <c r="BI98" s="76">
        <f t="shared" si="31"/>
        <v>54541</v>
      </c>
      <c r="BJ98" s="76">
        <f t="shared" si="31"/>
        <v>8168</v>
      </c>
      <c r="BK98" s="76">
        <f t="shared" si="31"/>
        <v>3359</v>
      </c>
      <c r="BL98" s="68">
        <f t="shared" si="19"/>
        <v>469995.57000000007</v>
      </c>
      <c r="BM98" s="68">
        <f t="shared" si="20"/>
        <v>1276063.05</v>
      </c>
    </row>
    <row r="99" spans="1:65" ht="30" x14ac:dyDescent="0.25">
      <c r="A99" s="20" t="s">
        <v>302</v>
      </c>
      <c r="B99" s="76">
        <f t="shared" ref="B99:AE99" si="32">B110-B88-B77-B66-B44-B33-B22-B11-B55</f>
        <v>285</v>
      </c>
      <c r="C99" s="76">
        <f t="shared" si="32"/>
        <v>255</v>
      </c>
      <c r="D99" s="76">
        <f t="shared" si="32"/>
        <v>0</v>
      </c>
      <c r="E99" s="76">
        <f t="shared" si="32"/>
        <v>-1</v>
      </c>
      <c r="F99" s="76">
        <f t="shared" si="32"/>
        <v>0</v>
      </c>
      <c r="G99" s="76">
        <f t="shared" si="32"/>
        <v>0</v>
      </c>
      <c r="H99" s="76">
        <f t="shared" si="32"/>
        <v>22429</v>
      </c>
      <c r="I99" s="76">
        <f t="shared" si="32"/>
        <v>21089</v>
      </c>
      <c r="J99" s="76">
        <f t="shared" si="32"/>
        <v>0</v>
      </c>
      <c r="K99" s="76">
        <f t="shared" si="32"/>
        <v>0</v>
      </c>
      <c r="L99" s="76">
        <f t="shared" si="32"/>
        <v>-1</v>
      </c>
      <c r="M99" s="76">
        <f t="shared" si="32"/>
        <v>1160</v>
      </c>
      <c r="N99" s="76">
        <f t="shared" si="32"/>
        <v>0</v>
      </c>
      <c r="O99" s="76">
        <f t="shared" si="32"/>
        <v>688533.46</v>
      </c>
      <c r="P99" s="76">
        <f t="shared" si="32"/>
        <v>14.529999999999291</v>
      </c>
      <c r="Q99" s="76">
        <f t="shared" si="32"/>
        <v>11.430000000001655</v>
      </c>
      <c r="R99" s="76">
        <f t="shared" si="32"/>
        <v>12028.070000000009</v>
      </c>
      <c r="S99" s="76">
        <f t="shared" si="32"/>
        <v>10641.39000000001</v>
      </c>
      <c r="T99" s="76">
        <f t="shared" si="32"/>
        <v>4401</v>
      </c>
      <c r="U99" s="76">
        <f t="shared" si="32"/>
        <v>1813</v>
      </c>
      <c r="V99" s="76">
        <f t="shared" si="32"/>
        <v>-19464</v>
      </c>
      <c r="W99" s="76">
        <f t="shared" si="32"/>
        <v>-18996</v>
      </c>
      <c r="X99" s="76">
        <f t="shared" si="32"/>
        <v>53738</v>
      </c>
      <c r="Y99" s="76">
        <f t="shared" si="32"/>
        <v>41793</v>
      </c>
      <c r="Z99" s="76">
        <f t="shared" si="32"/>
        <v>0</v>
      </c>
      <c r="AA99" s="76">
        <f t="shared" si="32"/>
        <v>10067</v>
      </c>
      <c r="AB99" s="76">
        <f t="shared" si="32"/>
        <v>287</v>
      </c>
      <c r="AC99" s="76">
        <f t="shared" si="32"/>
        <v>250</v>
      </c>
      <c r="AD99" s="76">
        <f t="shared" si="32"/>
        <v>4592.9300000000167</v>
      </c>
      <c r="AE99" s="76">
        <f t="shared" si="32"/>
        <v>4452.3699999999981</v>
      </c>
      <c r="AF99" s="76">
        <f t="shared" ref="AF99:BK99" si="33">AF110-AF88-AF77-AF66-AF44-AF33-AF22-AF11-AF55</f>
        <v>-419.32000000002108</v>
      </c>
      <c r="AG99" s="76">
        <f t="shared" si="33"/>
        <v>-410.39999999997713</v>
      </c>
      <c r="AH99" s="76">
        <f t="shared" si="33"/>
        <v>33.459999999999127</v>
      </c>
      <c r="AI99" s="76">
        <f t="shared" si="33"/>
        <v>-1.0000000000218279E-2</v>
      </c>
      <c r="AJ99" s="76">
        <f t="shared" si="33"/>
        <v>0</v>
      </c>
      <c r="AK99" s="76">
        <f t="shared" si="33"/>
        <v>0</v>
      </c>
      <c r="AL99" s="76">
        <f t="shared" si="33"/>
        <v>57568.220000000118</v>
      </c>
      <c r="AM99" s="76">
        <f t="shared" si="33"/>
        <v>54587.449999999881</v>
      </c>
      <c r="AN99" s="76">
        <f t="shared" si="33"/>
        <v>-194</v>
      </c>
      <c r="AO99" s="76">
        <f t="shared" si="33"/>
        <v>-149</v>
      </c>
      <c r="AP99" s="76">
        <f t="shared" si="33"/>
        <v>6018</v>
      </c>
      <c r="AQ99" s="76">
        <f t="shared" si="33"/>
        <v>5581</v>
      </c>
      <c r="AR99" s="76">
        <f t="shared" si="33"/>
        <v>9048</v>
      </c>
      <c r="AS99" s="76">
        <f t="shared" si="33"/>
        <v>8608</v>
      </c>
      <c r="AT99" s="76">
        <f t="shared" si="33"/>
        <v>0</v>
      </c>
      <c r="AU99" s="76">
        <f t="shared" si="33"/>
        <v>-14843.099999999984</v>
      </c>
      <c r="AV99" s="76">
        <f t="shared" si="29"/>
        <v>6037</v>
      </c>
      <c r="AW99" s="76">
        <f t="shared" si="29"/>
        <v>5810</v>
      </c>
      <c r="AX99" s="76">
        <f t="shared" si="33"/>
        <v>1601</v>
      </c>
      <c r="AY99" s="76">
        <f t="shared" si="33"/>
        <v>1521</v>
      </c>
      <c r="AZ99" s="76">
        <f t="shared" si="33"/>
        <v>294</v>
      </c>
      <c r="BA99" s="76">
        <f t="shared" si="33"/>
        <v>978</v>
      </c>
      <c r="BB99" s="76">
        <f>BB110-BB88-BB77-BB66-BB44-BB33-BB22-BB11-BB55</f>
        <v>39914</v>
      </c>
      <c r="BC99" s="76">
        <f t="shared" si="33"/>
        <v>37571</v>
      </c>
      <c r="BD99" s="76">
        <f t="shared" si="33"/>
        <v>154256.29000000007</v>
      </c>
      <c r="BE99" s="76">
        <f t="shared" si="33"/>
        <v>163460.51999999987</v>
      </c>
      <c r="BF99" s="76">
        <f t="shared" si="33"/>
        <v>-19</v>
      </c>
      <c r="BG99" s="76">
        <f t="shared" si="33"/>
        <v>36449</v>
      </c>
      <c r="BH99" s="76">
        <f t="shared" si="33"/>
        <v>61285</v>
      </c>
      <c r="BI99" s="76">
        <f t="shared" si="33"/>
        <v>56308</v>
      </c>
      <c r="BJ99" s="76">
        <f t="shared" si="33"/>
        <v>0</v>
      </c>
      <c r="BK99" s="76">
        <f t="shared" si="33"/>
        <v>3462</v>
      </c>
      <c r="BL99" s="68">
        <f t="shared" si="19"/>
        <v>413733.18000000017</v>
      </c>
      <c r="BM99" s="68">
        <f t="shared" si="20"/>
        <v>1120002.1099999999</v>
      </c>
    </row>
    <row r="100" spans="1:65" s="7" customFormat="1" x14ac:dyDescent="0.25">
      <c r="A100" s="3" t="s">
        <v>303</v>
      </c>
      <c r="B100" s="10">
        <f>B111-B89-B78-B67-B56-B45-B34-B23-B12</f>
        <v>528</v>
      </c>
      <c r="C100" s="10">
        <f t="shared" ref="C100:AE100" si="34">C111-C89-C78-C67-C56-C45-C34-C23-C12</f>
        <v>768</v>
      </c>
      <c r="D100" s="10">
        <f t="shared" si="34"/>
        <v>0</v>
      </c>
      <c r="E100" s="10">
        <f t="shared" si="34"/>
        <v>-1</v>
      </c>
      <c r="F100" s="10">
        <f t="shared" si="34"/>
        <v>0</v>
      </c>
      <c r="G100" s="10">
        <f t="shared" si="34"/>
        <v>0</v>
      </c>
      <c r="H100" s="10">
        <f t="shared" si="34"/>
        <v>4470</v>
      </c>
      <c r="I100" s="10">
        <f t="shared" si="34"/>
        <v>8203</v>
      </c>
      <c r="J100" s="10">
        <f t="shared" si="34"/>
        <v>0</v>
      </c>
      <c r="K100" s="10">
        <f t="shared" si="34"/>
        <v>-1.4551915228366852E-11</v>
      </c>
      <c r="L100" s="10">
        <f t="shared" si="34"/>
        <v>305</v>
      </c>
      <c r="M100" s="10">
        <f t="shared" si="34"/>
        <v>651</v>
      </c>
      <c r="N100" s="10">
        <f t="shared" si="34"/>
        <v>34608.32</v>
      </c>
      <c r="O100" s="10">
        <f t="shared" si="34"/>
        <v>74829.86</v>
      </c>
      <c r="P100" s="10">
        <f t="shared" si="34"/>
        <v>107.13999999999936</v>
      </c>
      <c r="Q100" s="10">
        <f t="shared" si="34"/>
        <v>134.07000000000173</v>
      </c>
      <c r="R100" s="10">
        <f t="shared" si="34"/>
        <v>755.48000000000184</v>
      </c>
      <c r="S100" s="10">
        <f t="shared" si="34"/>
        <v>4389.7200000000021</v>
      </c>
      <c r="T100" s="10">
        <f t="shared" si="34"/>
        <v>2738</v>
      </c>
      <c r="U100" s="10">
        <f t="shared" si="34"/>
        <v>6180</v>
      </c>
      <c r="V100" s="10">
        <f t="shared" si="34"/>
        <v>3847</v>
      </c>
      <c r="W100" s="10">
        <f t="shared" si="34"/>
        <v>16063</v>
      </c>
      <c r="X100" s="10">
        <f t="shared" si="34"/>
        <v>6541</v>
      </c>
      <c r="Y100" s="10">
        <f t="shared" si="34"/>
        <v>14054</v>
      </c>
      <c r="Z100" s="10">
        <f t="shared" si="34"/>
        <v>5432</v>
      </c>
      <c r="AA100" s="10">
        <f t="shared" si="34"/>
        <v>7848</v>
      </c>
      <c r="AB100" s="10">
        <f t="shared" si="34"/>
        <v>51</v>
      </c>
      <c r="AC100" s="10">
        <f t="shared" si="34"/>
        <v>99</v>
      </c>
      <c r="AD100" s="10">
        <f t="shared" si="34"/>
        <v>166.59999999999718</v>
      </c>
      <c r="AE100" s="10">
        <f t="shared" si="34"/>
        <v>336.62000000000103</v>
      </c>
      <c r="AF100" s="10">
        <f t="shared" ref="AF100:BK100" si="35">AF111-AF89-AF78-AF67-AF56-AF45-AF34-AF23-AF12</f>
        <v>95.749999999999773</v>
      </c>
      <c r="AG100" s="10">
        <f t="shared" si="35"/>
        <v>117.27999999999793</v>
      </c>
      <c r="AH100" s="10">
        <f t="shared" si="35"/>
        <v>8.2899999999972351</v>
      </c>
      <c r="AI100" s="10">
        <f t="shared" si="35"/>
        <v>49.049999999995634</v>
      </c>
      <c r="AJ100" s="10">
        <f t="shared" si="35"/>
        <v>0</v>
      </c>
      <c r="AK100" s="10">
        <f t="shared" si="35"/>
        <v>0</v>
      </c>
      <c r="AL100" s="10">
        <f t="shared" si="35"/>
        <v>2728.5200000000532</v>
      </c>
      <c r="AM100" s="10">
        <f t="shared" si="35"/>
        <v>9364.8399999999456</v>
      </c>
      <c r="AN100" s="10">
        <f t="shared" si="35"/>
        <v>136</v>
      </c>
      <c r="AO100" s="10">
        <f t="shared" si="35"/>
        <v>290</v>
      </c>
      <c r="AP100" s="10">
        <f t="shared" si="35"/>
        <v>794</v>
      </c>
      <c r="AQ100" s="10">
        <f t="shared" si="35"/>
        <v>1576</v>
      </c>
      <c r="AR100" s="10">
        <f t="shared" si="35"/>
        <v>500</v>
      </c>
      <c r="AS100" s="10">
        <f t="shared" si="35"/>
        <v>1444</v>
      </c>
      <c r="AT100" s="10">
        <f t="shared" si="35"/>
        <v>-26.720000000001107</v>
      </c>
      <c r="AU100" s="10">
        <f t="shared" si="35"/>
        <v>10.390000000015107</v>
      </c>
      <c r="AV100" s="10">
        <f>AV111-AV89-AV78-AV67-AV56-AV45-AV34-AV23-AV12</f>
        <v>1719</v>
      </c>
      <c r="AW100" s="10">
        <f>AW111-AW89-AW78-AW67-AW56-AW45-AW34-AW23-AW12</f>
        <v>2361</v>
      </c>
      <c r="AX100" s="10">
        <f t="shared" si="35"/>
        <v>374</v>
      </c>
      <c r="AY100" s="10">
        <f t="shared" si="35"/>
        <v>543</v>
      </c>
      <c r="AZ100" s="10">
        <f t="shared" si="35"/>
        <v>-81</v>
      </c>
      <c r="BA100" s="10">
        <f t="shared" si="35"/>
        <v>-191</v>
      </c>
      <c r="BB100" s="10">
        <f>BB111-BB89-BB78-BB67-BB56-BB45-BB34-BB23-BB12</f>
        <v>4429</v>
      </c>
      <c r="BC100" s="10">
        <f t="shared" si="35"/>
        <v>8777</v>
      </c>
      <c r="BD100" s="10">
        <f t="shared" si="35"/>
        <v>19589.750000000029</v>
      </c>
      <c r="BE100" s="10">
        <f t="shared" si="35"/>
        <v>23315.869999999952</v>
      </c>
      <c r="BF100" s="10">
        <f t="shared" si="35"/>
        <v>-15098</v>
      </c>
      <c r="BG100" s="10">
        <f t="shared" si="35"/>
        <v>10937</v>
      </c>
      <c r="BH100" s="10">
        <f t="shared" si="35"/>
        <v>-422</v>
      </c>
      <c r="BI100" s="10">
        <f t="shared" si="35"/>
        <v>8766</v>
      </c>
      <c r="BJ100" s="10">
        <f t="shared" si="35"/>
        <v>47</v>
      </c>
      <c r="BK100" s="10">
        <f t="shared" si="35"/>
        <v>396</v>
      </c>
      <c r="BL100" s="63">
        <f t="shared" si="19"/>
        <v>74343.130000000092</v>
      </c>
      <c r="BM100" s="63">
        <f t="shared" si="20"/>
        <v>201311.6999999999</v>
      </c>
    </row>
    <row r="101" spans="1:65" x14ac:dyDescent="0.25">
      <c r="A101" s="13"/>
    </row>
    <row r="102" spans="1:65" x14ac:dyDescent="0.25">
      <c r="A102" s="27" t="s">
        <v>40</v>
      </c>
    </row>
    <row r="103" spans="1:65" x14ac:dyDescent="0.25">
      <c r="A103" s="3" t="s">
        <v>0</v>
      </c>
      <c r="B103" s="147" t="s">
        <v>1</v>
      </c>
      <c r="C103" s="148"/>
      <c r="D103" s="147" t="s">
        <v>233</v>
      </c>
      <c r="E103" s="148"/>
      <c r="F103" s="147" t="s">
        <v>2</v>
      </c>
      <c r="G103" s="148"/>
      <c r="H103" s="147" t="s">
        <v>3</v>
      </c>
      <c r="I103" s="148"/>
      <c r="J103" s="147" t="s">
        <v>242</v>
      </c>
      <c r="K103" s="148"/>
      <c r="L103" s="147" t="s">
        <v>234</v>
      </c>
      <c r="M103" s="148"/>
      <c r="N103" s="147" t="s">
        <v>5</v>
      </c>
      <c r="O103" s="148"/>
      <c r="P103" s="147" t="s">
        <v>4</v>
      </c>
      <c r="Q103" s="148"/>
      <c r="R103" s="147" t="s">
        <v>6</v>
      </c>
      <c r="S103" s="148"/>
      <c r="T103" s="147" t="s">
        <v>254</v>
      </c>
      <c r="U103" s="148"/>
      <c r="V103" s="147" t="s">
        <v>7</v>
      </c>
      <c r="W103" s="148"/>
      <c r="X103" s="147" t="s">
        <v>8</v>
      </c>
      <c r="Y103" s="148"/>
      <c r="Z103" s="147" t="s">
        <v>9</v>
      </c>
      <c r="AA103" s="148"/>
      <c r="AB103" s="147" t="s">
        <v>241</v>
      </c>
      <c r="AC103" s="148"/>
      <c r="AD103" s="147" t="s">
        <v>10</v>
      </c>
      <c r="AE103" s="148"/>
      <c r="AF103" s="147" t="s">
        <v>11</v>
      </c>
      <c r="AG103" s="148"/>
      <c r="AH103" s="147" t="s">
        <v>235</v>
      </c>
      <c r="AI103" s="148"/>
      <c r="AJ103" s="147" t="s">
        <v>253</v>
      </c>
      <c r="AK103" s="148"/>
      <c r="AL103" s="147" t="s">
        <v>12</v>
      </c>
      <c r="AM103" s="148"/>
      <c r="AN103" s="147" t="s">
        <v>236</v>
      </c>
      <c r="AO103" s="148"/>
      <c r="AP103" s="147" t="s">
        <v>237</v>
      </c>
      <c r="AQ103" s="148"/>
      <c r="AR103" s="147" t="s">
        <v>240</v>
      </c>
      <c r="AS103" s="148"/>
      <c r="AT103" s="147" t="s">
        <v>13</v>
      </c>
      <c r="AU103" s="148"/>
      <c r="AV103" s="147" t="s">
        <v>14</v>
      </c>
      <c r="AW103" s="148"/>
      <c r="AX103" s="147" t="s">
        <v>15</v>
      </c>
      <c r="AY103" s="148"/>
      <c r="AZ103" s="147" t="s">
        <v>16</v>
      </c>
      <c r="BA103" s="148"/>
      <c r="BB103" s="147" t="s">
        <v>17</v>
      </c>
      <c r="BC103" s="148"/>
      <c r="BD103" s="147" t="s">
        <v>238</v>
      </c>
      <c r="BE103" s="148"/>
      <c r="BF103" s="147" t="s">
        <v>239</v>
      </c>
      <c r="BG103" s="148"/>
      <c r="BH103" s="147" t="s">
        <v>18</v>
      </c>
      <c r="BI103" s="148"/>
      <c r="BJ103" s="147" t="s">
        <v>19</v>
      </c>
      <c r="BK103" s="148"/>
      <c r="BL103" s="149" t="s">
        <v>20</v>
      </c>
      <c r="BM103" s="150"/>
    </row>
    <row r="104" spans="1:65" ht="30" x14ac:dyDescent="0.25">
      <c r="A104" s="3"/>
      <c r="B104" s="53" t="s">
        <v>243</v>
      </c>
      <c r="C104" s="54" t="s">
        <v>244</v>
      </c>
      <c r="D104" s="53" t="s">
        <v>243</v>
      </c>
      <c r="E104" s="54" t="s">
        <v>244</v>
      </c>
      <c r="F104" s="53" t="s">
        <v>243</v>
      </c>
      <c r="G104" s="54" t="s">
        <v>244</v>
      </c>
      <c r="H104" s="53" t="s">
        <v>243</v>
      </c>
      <c r="I104" s="54" t="s">
        <v>244</v>
      </c>
      <c r="J104" s="53" t="s">
        <v>243</v>
      </c>
      <c r="K104" s="54" t="s">
        <v>244</v>
      </c>
      <c r="L104" s="53" t="s">
        <v>243</v>
      </c>
      <c r="M104" s="54" t="s">
        <v>244</v>
      </c>
      <c r="N104" s="53" t="s">
        <v>243</v>
      </c>
      <c r="O104" s="54" t="s">
        <v>244</v>
      </c>
      <c r="P104" s="53" t="s">
        <v>243</v>
      </c>
      <c r="Q104" s="54" t="s">
        <v>244</v>
      </c>
      <c r="R104" s="53" t="s">
        <v>243</v>
      </c>
      <c r="S104" s="54" t="s">
        <v>244</v>
      </c>
      <c r="T104" s="53" t="s">
        <v>243</v>
      </c>
      <c r="U104" s="54" t="s">
        <v>244</v>
      </c>
      <c r="V104" s="53" t="s">
        <v>243</v>
      </c>
      <c r="W104" s="54" t="s">
        <v>244</v>
      </c>
      <c r="X104" s="53" t="s">
        <v>243</v>
      </c>
      <c r="Y104" s="54" t="s">
        <v>244</v>
      </c>
      <c r="Z104" s="53" t="s">
        <v>243</v>
      </c>
      <c r="AA104" s="54" t="s">
        <v>244</v>
      </c>
      <c r="AB104" s="53" t="s">
        <v>243</v>
      </c>
      <c r="AC104" s="54" t="s">
        <v>244</v>
      </c>
      <c r="AD104" s="53" t="s">
        <v>243</v>
      </c>
      <c r="AE104" s="54" t="s">
        <v>244</v>
      </c>
      <c r="AF104" s="53" t="s">
        <v>243</v>
      </c>
      <c r="AG104" s="54" t="s">
        <v>244</v>
      </c>
      <c r="AH104" s="53" t="s">
        <v>243</v>
      </c>
      <c r="AI104" s="54" t="s">
        <v>244</v>
      </c>
      <c r="AJ104" s="53" t="s">
        <v>243</v>
      </c>
      <c r="AK104" s="54" t="s">
        <v>244</v>
      </c>
      <c r="AL104" s="53" t="s">
        <v>243</v>
      </c>
      <c r="AM104" s="54" t="s">
        <v>244</v>
      </c>
      <c r="AN104" s="53" t="s">
        <v>243</v>
      </c>
      <c r="AO104" s="54" t="s">
        <v>244</v>
      </c>
      <c r="AP104" s="53" t="s">
        <v>243</v>
      </c>
      <c r="AQ104" s="54" t="s">
        <v>244</v>
      </c>
      <c r="AR104" s="53" t="s">
        <v>243</v>
      </c>
      <c r="AS104" s="54" t="s">
        <v>244</v>
      </c>
      <c r="AT104" s="53" t="s">
        <v>243</v>
      </c>
      <c r="AU104" s="54" t="s">
        <v>244</v>
      </c>
      <c r="AV104" s="53" t="s">
        <v>243</v>
      </c>
      <c r="AW104" s="54" t="s">
        <v>244</v>
      </c>
      <c r="AX104" s="53" t="s">
        <v>243</v>
      </c>
      <c r="AY104" s="54" t="s">
        <v>244</v>
      </c>
      <c r="AZ104" s="53" t="s">
        <v>243</v>
      </c>
      <c r="BA104" s="54" t="s">
        <v>244</v>
      </c>
      <c r="BB104" s="53" t="s">
        <v>243</v>
      </c>
      <c r="BC104" s="54" t="s">
        <v>244</v>
      </c>
      <c r="BD104" s="53" t="s">
        <v>243</v>
      </c>
      <c r="BE104" s="54" t="s">
        <v>244</v>
      </c>
      <c r="BF104" s="53" t="s">
        <v>243</v>
      </c>
      <c r="BG104" s="54" t="s">
        <v>244</v>
      </c>
      <c r="BH104" s="53" t="s">
        <v>243</v>
      </c>
      <c r="BI104" s="54" t="s">
        <v>244</v>
      </c>
      <c r="BJ104" s="53" t="s">
        <v>243</v>
      </c>
      <c r="BK104" s="54" t="s">
        <v>244</v>
      </c>
      <c r="BL104" s="105" t="s">
        <v>243</v>
      </c>
      <c r="BM104" s="106" t="s">
        <v>244</v>
      </c>
    </row>
    <row r="105" spans="1:65" x14ac:dyDescent="0.25">
      <c r="A105" s="20" t="s">
        <v>297</v>
      </c>
      <c r="B105" s="92">
        <v>12512</v>
      </c>
      <c r="C105" s="92">
        <v>18949</v>
      </c>
      <c r="D105" s="92">
        <v>30374</v>
      </c>
      <c r="E105" s="92">
        <v>52722</v>
      </c>
      <c r="F105" s="92">
        <v>121381</v>
      </c>
      <c r="G105" s="92">
        <v>292642</v>
      </c>
      <c r="H105" s="92">
        <v>184043</v>
      </c>
      <c r="I105" s="92">
        <v>308437</v>
      </c>
      <c r="J105" s="92">
        <v>67775.179999999993</v>
      </c>
      <c r="K105" s="92">
        <v>108683.47</v>
      </c>
      <c r="L105" s="92">
        <v>69461</v>
      </c>
      <c r="M105" s="92">
        <v>117371</v>
      </c>
      <c r="N105" s="92">
        <v>12623.29</v>
      </c>
      <c r="O105" s="92">
        <v>15133.77</v>
      </c>
      <c r="P105" s="92">
        <v>5438.26</v>
      </c>
      <c r="Q105" s="92">
        <v>9957.07</v>
      </c>
      <c r="R105" s="92">
        <v>64350.09</v>
      </c>
      <c r="S105" s="92">
        <v>102245.42</v>
      </c>
      <c r="T105" s="92">
        <v>24163</v>
      </c>
      <c r="U105" s="92">
        <v>10089</v>
      </c>
      <c r="V105" s="92">
        <v>213911</v>
      </c>
      <c r="W105" s="92">
        <v>389381</v>
      </c>
      <c r="X105" s="92">
        <v>253107</v>
      </c>
      <c r="Y105" s="92">
        <v>450039</v>
      </c>
      <c r="Z105" s="92">
        <v>155750</v>
      </c>
      <c r="AA105" s="92">
        <v>263760</v>
      </c>
      <c r="AB105" s="92">
        <v>7624</v>
      </c>
      <c r="AC105" s="92">
        <v>12705</v>
      </c>
      <c r="AD105" s="92">
        <v>19512.37</v>
      </c>
      <c r="AE105" s="92">
        <v>33868.03</v>
      </c>
      <c r="AF105" s="92">
        <v>12503.45</v>
      </c>
      <c r="AG105" s="92">
        <v>17802.830000000002</v>
      </c>
      <c r="AH105" s="92">
        <v>18950.71</v>
      </c>
      <c r="AI105" s="92">
        <v>34411.440000000002</v>
      </c>
      <c r="AJ105" s="92">
        <v>38633.769999999997</v>
      </c>
      <c r="AK105" s="92">
        <v>68876.81</v>
      </c>
      <c r="AL105" s="92">
        <v>321907.56</v>
      </c>
      <c r="AM105" s="92">
        <v>543130.77</v>
      </c>
      <c r="AN105" s="92">
        <v>969</v>
      </c>
      <c r="AO105" s="92">
        <v>1483</v>
      </c>
      <c r="AP105" s="92">
        <v>3570</v>
      </c>
      <c r="AQ105" s="92">
        <v>8080</v>
      </c>
      <c r="AR105" s="76">
        <v>97472</v>
      </c>
      <c r="AS105" s="76">
        <v>172784</v>
      </c>
      <c r="AT105" s="92">
        <v>47119.69</v>
      </c>
      <c r="AU105" s="92">
        <v>78712.539999999994</v>
      </c>
      <c r="AV105" s="92">
        <v>80461</v>
      </c>
      <c r="AW105" s="92">
        <v>241884</v>
      </c>
      <c r="AX105" s="92">
        <v>26473</v>
      </c>
      <c r="AY105" s="92">
        <v>40916</v>
      </c>
      <c r="AZ105" s="92">
        <v>278444</v>
      </c>
      <c r="BA105" s="92">
        <v>439770</v>
      </c>
      <c r="BB105" s="92">
        <v>110363</v>
      </c>
      <c r="BC105" s="92">
        <v>169434</v>
      </c>
      <c r="BD105" s="92">
        <v>848953.97</v>
      </c>
      <c r="BE105" s="92">
        <v>1393320.76</v>
      </c>
      <c r="BF105" s="92">
        <v>318578</v>
      </c>
      <c r="BG105" s="92">
        <v>543819</v>
      </c>
      <c r="BH105" s="92">
        <v>385308</v>
      </c>
      <c r="BI105" s="92">
        <v>657646</v>
      </c>
      <c r="BJ105" s="92">
        <v>48882</v>
      </c>
      <c r="BK105" s="92">
        <v>84377</v>
      </c>
      <c r="BL105" s="68">
        <f t="shared" ref="BL105:BL111" si="36">SUM(B105+D105+F105+H105+J105+L105+N105+P105+R105+T105+V105+X105+Z105+AB105+AD105+AF105+AH105+AJ105+AL105+AN105+AP105+AR105+AT105+AV105+AX105+AZ105+BB105+BD105+BF105+BH105+BJ105)</f>
        <v>3880614.34</v>
      </c>
      <c r="BM105" s="68">
        <f t="shared" ref="BM105:BM111" si="37">SUM(C105+E105+G105+I105+K105+M105+O105+Q105+S105+U105+W105+Y105+AA105+AC105+AE105+AG105+AI105+AK105+AM105+AO105+AQ105+AS105+AU105+AW105+AY105+BA105+BC105+BE105+BG105+BI105+BK105)</f>
        <v>6682430.9100000001</v>
      </c>
    </row>
    <row r="106" spans="1:65" x14ac:dyDescent="0.25">
      <c r="A106" s="20" t="s">
        <v>298</v>
      </c>
      <c r="B106" s="92"/>
      <c r="C106" s="92"/>
      <c r="D106" s="92"/>
      <c r="E106" s="92"/>
      <c r="F106" s="92">
        <v>0</v>
      </c>
      <c r="G106" s="92">
        <v>0</v>
      </c>
      <c r="H106" s="92">
        <v>454</v>
      </c>
      <c r="I106" s="92">
        <v>521</v>
      </c>
      <c r="J106" s="92">
        <v>-799.92</v>
      </c>
      <c r="K106" s="92">
        <v>-132.66</v>
      </c>
      <c r="L106" s="92">
        <v>-40</v>
      </c>
      <c r="M106" s="92">
        <v>-39</v>
      </c>
      <c r="N106" s="76"/>
      <c r="O106" s="76"/>
      <c r="P106" s="92">
        <v>57.31</v>
      </c>
      <c r="Q106" s="92">
        <v>206.17</v>
      </c>
      <c r="R106" s="92">
        <v>303.54000000000002</v>
      </c>
      <c r="S106" s="92">
        <v>811.09</v>
      </c>
      <c r="T106" s="92">
        <v>4081</v>
      </c>
      <c r="U106" s="92">
        <v>28972</v>
      </c>
      <c r="V106" s="92">
        <v>1589</v>
      </c>
      <c r="W106" s="92">
        <v>3081</v>
      </c>
      <c r="X106" s="92">
        <v>4228</v>
      </c>
      <c r="Y106" s="92">
        <v>5390</v>
      </c>
      <c r="Z106" s="92">
        <v>858</v>
      </c>
      <c r="AA106" s="92">
        <v>1152</v>
      </c>
      <c r="AB106" s="92">
        <v>-10</v>
      </c>
      <c r="AC106" s="92">
        <v>-9</v>
      </c>
      <c r="AD106" s="92">
        <v>-21.19</v>
      </c>
      <c r="AE106" s="92">
        <v>-20.89</v>
      </c>
      <c r="AF106" s="92">
        <v>589.79</v>
      </c>
      <c r="AG106" s="92">
        <v>1695.25</v>
      </c>
      <c r="AH106" s="92"/>
      <c r="AI106" s="92"/>
      <c r="AJ106" s="92"/>
      <c r="AK106" s="92"/>
      <c r="AL106" s="92">
        <v>7112.79</v>
      </c>
      <c r="AM106" s="92">
        <v>10401.31</v>
      </c>
      <c r="AN106" s="92">
        <v>-1</v>
      </c>
      <c r="AO106" s="92">
        <v>-1</v>
      </c>
      <c r="AP106" s="92">
        <v>38</v>
      </c>
      <c r="AQ106" s="92">
        <v>68</v>
      </c>
      <c r="AR106" s="76">
        <v>364</v>
      </c>
      <c r="AS106" s="76">
        <v>420</v>
      </c>
      <c r="AT106" s="92">
        <v>513.64</v>
      </c>
      <c r="AU106" s="92">
        <v>1191.28</v>
      </c>
      <c r="AV106" s="92">
        <v>37</v>
      </c>
      <c r="AW106" s="92">
        <v>37</v>
      </c>
      <c r="AX106" s="92">
        <v>-21</v>
      </c>
      <c r="AY106" s="92">
        <v>-20</v>
      </c>
      <c r="AZ106" s="92"/>
      <c r="BA106" s="92"/>
      <c r="BB106" s="92">
        <v>1160</v>
      </c>
      <c r="BC106" s="92">
        <v>2053</v>
      </c>
      <c r="BD106" s="92">
        <v>28523.29</v>
      </c>
      <c r="BE106" s="92">
        <v>49349.85</v>
      </c>
      <c r="BF106" s="92">
        <v>10042</v>
      </c>
      <c r="BG106" s="92">
        <v>14993</v>
      </c>
      <c r="BH106" s="92">
        <v>465</v>
      </c>
      <c r="BI106" s="92">
        <v>2070</v>
      </c>
      <c r="BJ106" s="92">
        <v>-11</v>
      </c>
      <c r="BK106" s="92">
        <v>-11</v>
      </c>
      <c r="BL106" s="68">
        <f t="shared" si="36"/>
        <v>59512.25</v>
      </c>
      <c r="BM106" s="68">
        <f t="shared" si="37"/>
        <v>122178.4</v>
      </c>
    </row>
    <row r="107" spans="1:65" x14ac:dyDescent="0.25">
      <c r="A107" s="20" t="s">
        <v>299</v>
      </c>
      <c r="B107" s="92">
        <v>3210</v>
      </c>
      <c r="C107" s="92">
        <v>4806</v>
      </c>
      <c r="D107" s="92">
        <v>5389</v>
      </c>
      <c r="E107" s="92">
        <v>7715</v>
      </c>
      <c r="F107" s="92">
        <v>99090</v>
      </c>
      <c r="G107" s="92">
        <v>208996</v>
      </c>
      <c r="H107" s="92">
        <v>-57672</v>
      </c>
      <c r="I107" s="92">
        <v>-99206</v>
      </c>
      <c r="J107" s="92">
        <v>18691.14</v>
      </c>
      <c r="K107" s="92">
        <v>29808.18</v>
      </c>
      <c r="L107" s="92">
        <v>12857</v>
      </c>
      <c r="M107" s="92">
        <v>21795</v>
      </c>
      <c r="N107" s="92">
        <v>1339.55</v>
      </c>
      <c r="O107" s="92">
        <v>3087.17</v>
      </c>
      <c r="P107" s="92">
        <v>495.65</v>
      </c>
      <c r="Q107" s="92">
        <v>849.43</v>
      </c>
      <c r="R107" s="92">
        <v>21840.59</v>
      </c>
      <c r="S107" s="92">
        <v>33510.699999999997</v>
      </c>
      <c r="T107" s="92">
        <v>4555</v>
      </c>
      <c r="U107" s="92">
        <v>8423</v>
      </c>
      <c r="V107" s="92">
        <v>-66159</v>
      </c>
      <c r="W107" s="92">
        <v>-173560</v>
      </c>
      <c r="X107" s="92">
        <v>45403</v>
      </c>
      <c r="Y107" s="92">
        <v>92359</v>
      </c>
      <c r="Z107" s="92">
        <v>39689</v>
      </c>
      <c r="AA107" s="92">
        <v>69288</v>
      </c>
      <c r="AB107" s="92">
        <v>779</v>
      </c>
      <c r="AC107" s="92">
        <v>1282</v>
      </c>
      <c r="AD107" s="92">
        <v>1567.14</v>
      </c>
      <c r="AE107" s="92">
        <v>3072.61</v>
      </c>
      <c r="AF107" s="92">
        <v>-5672.42</v>
      </c>
      <c r="AG107" s="92">
        <v>-9726</v>
      </c>
      <c r="AH107" s="92">
        <v>947.6</v>
      </c>
      <c r="AI107" s="92">
        <v>1720.58</v>
      </c>
      <c r="AJ107" s="92">
        <v>8641.4599999999991</v>
      </c>
      <c r="AK107" s="92">
        <v>15423.56</v>
      </c>
      <c r="AL107" s="92">
        <v>32565.58</v>
      </c>
      <c r="AM107" s="92">
        <v>43508.17</v>
      </c>
      <c r="AN107" s="92">
        <v>-104</v>
      </c>
      <c r="AO107" s="92">
        <v>-137</v>
      </c>
      <c r="AP107" s="92">
        <v>287</v>
      </c>
      <c r="AQ107" s="92">
        <v>893</v>
      </c>
      <c r="AR107" s="76">
        <v>28214</v>
      </c>
      <c r="AS107" s="76">
        <v>57552</v>
      </c>
      <c r="AT107" s="92">
        <v>-10976.79</v>
      </c>
      <c r="AU107" s="92">
        <v>-21017.37</v>
      </c>
      <c r="AV107" s="92">
        <v>19153</v>
      </c>
      <c r="AW107" s="92">
        <v>121394</v>
      </c>
      <c r="AX107" s="92">
        <v>1911</v>
      </c>
      <c r="AY107" s="92">
        <v>3015</v>
      </c>
      <c r="AZ107" s="92">
        <v>15499</v>
      </c>
      <c r="BA107" s="92">
        <v>23604</v>
      </c>
      <c r="BB107" s="92">
        <v>27373</v>
      </c>
      <c r="BC107" s="92">
        <v>44300</v>
      </c>
      <c r="BD107" s="92">
        <v>77132.38</v>
      </c>
      <c r="BE107" s="92">
        <v>130990.3</v>
      </c>
      <c r="BF107" s="92">
        <v>36442</v>
      </c>
      <c r="BG107" s="92">
        <v>58750</v>
      </c>
      <c r="BH107" s="92">
        <v>46226</v>
      </c>
      <c r="BI107" s="92">
        <v>87511</v>
      </c>
      <c r="BJ107" s="92">
        <v>27055</v>
      </c>
      <c r="BK107" s="92">
        <v>43305</v>
      </c>
      <c r="BL107" s="68">
        <f t="shared" si="36"/>
        <v>435768.88</v>
      </c>
      <c r="BM107" s="68">
        <f t="shared" si="37"/>
        <v>813312.33</v>
      </c>
    </row>
    <row r="108" spans="1:65" s="7" customFormat="1" x14ac:dyDescent="0.25">
      <c r="A108" s="3" t="s">
        <v>300</v>
      </c>
      <c r="B108" s="10">
        <v>9302</v>
      </c>
      <c r="C108" s="10">
        <v>14143</v>
      </c>
      <c r="D108" s="10">
        <v>24984</v>
      </c>
      <c r="E108" s="10">
        <v>45007</v>
      </c>
      <c r="F108" s="10">
        <v>22292</v>
      </c>
      <c r="G108" s="10">
        <v>83647</v>
      </c>
      <c r="H108" s="10">
        <v>126824</v>
      </c>
      <c r="I108" s="10">
        <v>209751</v>
      </c>
      <c r="J108" s="10"/>
      <c r="K108" s="10"/>
      <c r="L108" s="10">
        <v>56564</v>
      </c>
      <c r="M108" s="10">
        <v>95537</v>
      </c>
      <c r="N108" s="10">
        <v>7985.22</v>
      </c>
      <c r="O108" s="10">
        <v>8149.74</v>
      </c>
      <c r="P108" s="10">
        <v>4999.92</v>
      </c>
      <c r="Q108" s="10">
        <v>9313.81</v>
      </c>
      <c r="R108" s="10">
        <v>42813.04</v>
      </c>
      <c r="S108" s="10">
        <v>69545.81</v>
      </c>
      <c r="T108" s="10">
        <v>23688</v>
      </c>
      <c r="U108" s="10">
        <v>30637</v>
      </c>
      <c r="V108" s="10">
        <v>149342</v>
      </c>
      <c r="W108" s="10">
        <v>218902</v>
      </c>
      <c r="X108" s="10">
        <v>211932</v>
      </c>
      <c r="Y108" s="10">
        <v>363070</v>
      </c>
      <c r="Z108" s="10">
        <v>116919</v>
      </c>
      <c r="AA108" s="10">
        <v>195624</v>
      </c>
      <c r="AB108" s="10">
        <v>6835</v>
      </c>
      <c r="AC108" s="10">
        <v>11414</v>
      </c>
      <c r="AD108" s="10"/>
      <c r="AE108" s="10"/>
      <c r="AF108" s="10">
        <v>7420.82</v>
      </c>
      <c r="AG108" s="10">
        <v>9772.08</v>
      </c>
      <c r="AH108" s="10">
        <v>18003.11</v>
      </c>
      <c r="AI108" s="10">
        <v>32690.86</v>
      </c>
      <c r="AJ108" s="10">
        <v>29992.31</v>
      </c>
      <c r="AK108" s="10">
        <v>53453.25</v>
      </c>
      <c r="AL108" s="10">
        <v>296454.77</v>
      </c>
      <c r="AM108" s="10">
        <v>510023.92</v>
      </c>
      <c r="AN108" s="10">
        <v>865</v>
      </c>
      <c r="AO108" s="10">
        <v>1346</v>
      </c>
      <c r="AP108" s="10">
        <v>3322</v>
      </c>
      <c r="AQ108" s="10">
        <v>7256</v>
      </c>
      <c r="AR108" s="10">
        <v>69622</v>
      </c>
      <c r="AS108" s="10">
        <v>115652</v>
      </c>
      <c r="AT108" s="10"/>
      <c r="AU108" s="10"/>
      <c r="AV108" s="10">
        <v>61345</v>
      </c>
      <c r="AW108" s="10">
        <v>120527</v>
      </c>
      <c r="AX108" s="10">
        <v>24541</v>
      </c>
      <c r="AY108" s="10">
        <v>37881</v>
      </c>
      <c r="AZ108" s="10">
        <v>262945</v>
      </c>
      <c r="BA108" s="10">
        <v>416166</v>
      </c>
      <c r="BB108" s="10">
        <v>84150</v>
      </c>
      <c r="BC108" s="10">
        <v>127188</v>
      </c>
      <c r="BD108" s="10"/>
      <c r="BE108" s="10"/>
      <c r="BF108" s="10">
        <v>292178</v>
      </c>
      <c r="BG108" s="10">
        <v>500062</v>
      </c>
      <c r="BH108" s="10">
        <v>339547</v>
      </c>
      <c r="BI108" s="10">
        <v>572205</v>
      </c>
      <c r="BJ108" s="10">
        <v>21815</v>
      </c>
      <c r="BK108" s="10">
        <v>41061</v>
      </c>
      <c r="BL108" s="63">
        <f t="shared" si="36"/>
        <v>2316681.19</v>
      </c>
      <c r="BM108" s="63">
        <f t="shared" si="37"/>
        <v>3900025.4699999997</v>
      </c>
    </row>
    <row r="109" spans="1:65" x14ac:dyDescent="0.25">
      <c r="A109" s="20" t="s">
        <v>301</v>
      </c>
      <c r="B109" s="92">
        <v>17583</v>
      </c>
      <c r="C109" s="92">
        <v>17583</v>
      </c>
      <c r="D109" s="92">
        <v>14681</v>
      </c>
      <c r="E109" s="92">
        <v>14681</v>
      </c>
      <c r="F109" s="92">
        <v>240787</v>
      </c>
      <c r="G109" s="92">
        <v>965171</v>
      </c>
      <c r="H109" s="92">
        <v>1090700</v>
      </c>
      <c r="I109" s="92">
        <v>1090700</v>
      </c>
      <c r="J109" s="92">
        <v>46584.73</v>
      </c>
      <c r="K109" s="92">
        <v>46584.73</v>
      </c>
      <c r="L109" s="92">
        <v>3311</v>
      </c>
      <c r="M109" s="92">
        <v>677392</v>
      </c>
      <c r="N109" s="92">
        <v>26623.1</v>
      </c>
      <c r="O109" s="92">
        <v>755213.58</v>
      </c>
      <c r="P109" s="92">
        <v>14075.57</v>
      </c>
      <c r="Q109" s="92">
        <v>14075.57</v>
      </c>
      <c r="R109" s="92">
        <v>269304.62</v>
      </c>
      <c r="S109" s="92">
        <v>269481.83</v>
      </c>
      <c r="T109" s="92">
        <v>299063</v>
      </c>
      <c r="U109" s="92">
        <v>299063</v>
      </c>
      <c r="V109" s="92">
        <v>691324</v>
      </c>
      <c r="W109" s="92">
        <v>691324</v>
      </c>
      <c r="X109" s="92">
        <v>1756770</v>
      </c>
      <c r="Y109" s="92">
        <v>1756770</v>
      </c>
      <c r="Z109" s="92">
        <v>23004</v>
      </c>
      <c r="AA109" s="92">
        <v>696039</v>
      </c>
      <c r="AB109" s="92">
        <v>42725</v>
      </c>
      <c r="AC109" s="92">
        <v>42725</v>
      </c>
      <c r="AD109" s="92">
        <v>139116.26999999999</v>
      </c>
      <c r="AE109" s="92">
        <v>139116.26999999999</v>
      </c>
      <c r="AF109" s="92">
        <v>185987.66</v>
      </c>
      <c r="AG109" s="92">
        <v>185987.66</v>
      </c>
      <c r="AH109" s="92">
        <v>11986.88</v>
      </c>
      <c r="AI109" s="92">
        <v>11986.88</v>
      </c>
      <c r="AJ109" s="92">
        <v>23954.45</v>
      </c>
      <c r="AK109" s="92">
        <v>23954.45</v>
      </c>
      <c r="AL109" s="92">
        <v>2120258.36</v>
      </c>
      <c r="AM109" s="92">
        <v>2120258.36</v>
      </c>
      <c r="AN109" s="92">
        <v>11292</v>
      </c>
      <c r="AO109" s="92">
        <v>11292</v>
      </c>
      <c r="AP109" s="92">
        <v>37087</v>
      </c>
      <c r="AQ109" s="92">
        <v>37087</v>
      </c>
      <c r="AR109" s="76">
        <v>727232</v>
      </c>
      <c r="AS109" s="76">
        <v>727232</v>
      </c>
      <c r="AT109" s="92">
        <v>13586.41</v>
      </c>
      <c r="AU109" s="92">
        <v>500369.59</v>
      </c>
      <c r="AV109" s="92">
        <v>402297</v>
      </c>
      <c r="AW109" s="92">
        <v>402297</v>
      </c>
      <c r="AX109" s="92">
        <v>765503</v>
      </c>
      <c r="AY109" s="92">
        <v>765503</v>
      </c>
      <c r="AZ109" s="92">
        <v>80871</v>
      </c>
      <c r="BA109" s="92">
        <v>80871</v>
      </c>
      <c r="BB109" s="92">
        <v>799708</v>
      </c>
      <c r="BC109" s="92">
        <v>799708</v>
      </c>
      <c r="BD109" s="92">
        <v>3815629.24</v>
      </c>
      <c r="BE109" s="92">
        <v>3815629.24</v>
      </c>
      <c r="BF109" s="92">
        <v>110260</v>
      </c>
      <c r="BG109" s="92">
        <v>1720000</v>
      </c>
      <c r="BH109" s="92">
        <v>2412534</v>
      </c>
      <c r="BI109" s="92">
        <v>2412534</v>
      </c>
      <c r="BJ109" s="92">
        <v>363</v>
      </c>
      <c r="BK109" s="92">
        <v>165738</v>
      </c>
      <c r="BL109" s="68">
        <f t="shared" si="36"/>
        <v>16194202.289999999</v>
      </c>
      <c r="BM109" s="68">
        <f t="shared" si="37"/>
        <v>21256368.16</v>
      </c>
    </row>
    <row r="110" spans="1:65" ht="15" customHeight="1" x14ac:dyDescent="0.25">
      <c r="A110" s="20" t="s">
        <v>302</v>
      </c>
      <c r="B110" s="92">
        <v>15522</v>
      </c>
      <c r="C110" s="92">
        <v>11353</v>
      </c>
      <c r="D110" s="92">
        <v>20714</v>
      </c>
      <c r="E110" s="92">
        <v>16215</v>
      </c>
      <c r="F110" s="92">
        <v>0</v>
      </c>
      <c r="G110" s="92">
        <v>709118</v>
      </c>
      <c r="H110" s="92">
        <v>1058814</v>
      </c>
      <c r="I110" s="92">
        <v>1004027</v>
      </c>
      <c r="J110" s="92">
        <v>56854.13</v>
      </c>
      <c r="K110" s="92">
        <v>38388.080000000002</v>
      </c>
      <c r="L110" s="92">
        <v>1</v>
      </c>
      <c r="M110" s="92">
        <v>646301</v>
      </c>
      <c r="N110" s="76"/>
      <c r="O110" s="92">
        <v>688533.46</v>
      </c>
      <c r="P110" s="92">
        <v>13182.01</v>
      </c>
      <c r="Q110" s="92">
        <v>11822.84</v>
      </c>
      <c r="R110" s="92">
        <v>274311.77</v>
      </c>
      <c r="S110" s="92">
        <v>260917.92</v>
      </c>
      <c r="T110" s="92">
        <v>260285</v>
      </c>
      <c r="U110" s="92">
        <v>214941</v>
      </c>
      <c r="V110" s="92">
        <v>-689827</v>
      </c>
      <c r="W110" s="92">
        <v>-610509</v>
      </c>
      <c r="X110" s="92">
        <v>1741707</v>
      </c>
      <c r="Y110" s="92">
        <v>1339107</v>
      </c>
      <c r="Z110" s="92"/>
      <c r="AA110" s="92">
        <v>634771</v>
      </c>
      <c r="AB110" s="92">
        <v>40304</v>
      </c>
      <c r="AC110" s="92">
        <v>36012</v>
      </c>
      <c r="AD110" s="92">
        <v>135731.35</v>
      </c>
      <c r="AE110" s="92">
        <v>128541.45</v>
      </c>
      <c r="AF110" s="92">
        <v>-177737.14</v>
      </c>
      <c r="AG110" s="92">
        <v>-164778.81</v>
      </c>
      <c r="AH110" s="92">
        <v>13402.89</v>
      </c>
      <c r="AI110" s="92">
        <v>9696.5</v>
      </c>
      <c r="AJ110" s="92">
        <v>29370.27</v>
      </c>
      <c r="AK110" s="92">
        <v>23118.34</v>
      </c>
      <c r="AL110" s="92">
        <v>2093889.3</v>
      </c>
      <c r="AM110" s="92">
        <v>1984199.43</v>
      </c>
      <c r="AN110" s="92">
        <v>-10880</v>
      </c>
      <c r="AO110" s="92">
        <v>-10227</v>
      </c>
      <c r="AP110" s="92">
        <v>34259</v>
      </c>
      <c r="AQ110" s="92">
        <v>31995</v>
      </c>
      <c r="AR110" s="76">
        <v>688342</v>
      </c>
      <c r="AS110" s="76">
        <v>651572</v>
      </c>
      <c r="AT110" s="76"/>
      <c r="AU110" s="92">
        <v>-464077.05</v>
      </c>
      <c r="AV110" s="92">
        <v>365050</v>
      </c>
      <c r="AW110" s="92">
        <v>347057</v>
      </c>
      <c r="AX110" s="92">
        <v>754932</v>
      </c>
      <c r="AY110" s="92">
        <v>728086</v>
      </c>
      <c r="AZ110" s="92">
        <v>136859</v>
      </c>
      <c r="BA110" s="92">
        <v>85939</v>
      </c>
      <c r="BB110" s="92">
        <v>762084</v>
      </c>
      <c r="BC110" s="92">
        <v>688992</v>
      </c>
      <c r="BD110" s="92">
        <v>3751062.1</v>
      </c>
      <c r="BE110" s="92">
        <v>3571244.37</v>
      </c>
      <c r="BF110" s="92">
        <v>55524</v>
      </c>
      <c r="BG110" s="92">
        <v>1566690</v>
      </c>
      <c r="BH110" s="92">
        <v>2441510</v>
      </c>
      <c r="BI110" s="92">
        <v>2354262</v>
      </c>
      <c r="BJ110" s="92"/>
      <c r="BK110" s="92">
        <v>173295</v>
      </c>
      <c r="BL110" s="68">
        <f t="shared" si="36"/>
        <v>13865266.68</v>
      </c>
      <c r="BM110" s="68">
        <f t="shared" si="37"/>
        <v>16706603.530000001</v>
      </c>
    </row>
    <row r="111" spans="1:65" s="7" customFormat="1" x14ac:dyDescent="0.25">
      <c r="A111" s="3" t="s">
        <v>303</v>
      </c>
      <c r="B111" s="10">
        <v>11363</v>
      </c>
      <c r="C111" s="10">
        <v>20373</v>
      </c>
      <c r="D111" s="10">
        <v>18951</v>
      </c>
      <c r="E111" s="10">
        <v>43472</v>
      </c>
      <c r="F111" s="10">
        <v>263079</v>
      </c>
      <c r="G111" s="10">
        <v>339699</v>
      </c>
      <c r="H111" s="10">
        <v>158710</v>
      </c>
      <c r="I111" s="10">
        <v>296424</v>
      </c>
      <c r="J111" s="10">
        <v>38014.720000000001</v>
      </c>
      <c r="K111" s="10">
        <v>86939.28</v>
      </c>
      <c r="L111" s="10">
        <v>59874</v>
      </c>
      <c r="M111" s="10">
        <v>126628</v>
      </c>
      <c r="N111" s="10">
        <v>34608.32</v>
      </c>
      <c r="O111" s="10">
        <v>74829.86</v>
      </c>
      <c r="P111" s="10">
        <v>5893.48</v>
      </c>
      <c r="Q111" s="10">
        <v>11566.54</v>
      </c>
      <c r="R111" s="10">
        <v>37805.89</v>
      </c>
      <c r="S111" s="10">
        <v>78109.72</v>
      </c>
      <c r="T111" s="10">
        <v>62466</v>
      </c>
      <c r="U111" s="10">
        <v>114759</v>
      </c>
      <c r="V111" s="10">
        <v>150838</v>
      </c>
      <c r="W111" s="10">
        <v>299716</v>
      </c>
      <c r="X111" s="10">
        <v>226995</v>
      </c>
      <c r="Y111" s="10">
        <v>508911</v>
      </c>
      <c r="Z111" s="10">
        <v>139922</v>
      </c>
      <c r="AA111" s="10">
        <v>256892</v>
      </c>
      <c r="AB111" s="10">
        <v>9256</v>
      </c>
      <c r="AC111" s="10">
        <v>18127</v>
      </c>
      <c r="AD111" s="10">
        <v>20755.71</v>
      </c>
      <c r="AE111" s="10">
        <v>39639.89</v>
      </c>
      <c r="AF111" s="10">
        <v>15671.34</v>
      </c>
      <c r="AG111" s="10">
        <v>30980.93</v>
      </c>
      <c r="AH111" s="10">
        <v>16587.099999999999</v>
      </c>
      <c r="AI111" s="10">
        <v>34981.24</v>
      </c>
      <c r="AJ111" s="10">
        <v>24576.49</v>
      </c>
      <c r="AK111" s="10">
        <v>54289.36</v>
      </c>
      <c r="AL111" s="10">
        <v>322823.83</v>
      </c>
      <c r="AM111" s="10">
        <v>646082.84</v>
      </c>
      <c r="AN111" s="10">
        <v>1276</v>
      </c>
      <c r="AO111" s="10">
        <v>2410</v>
      </c>
      <c r="AP111" s="10">
        <v>6150</v>
      </c>
      <c r="AQ111" s="10">
        <v>12348</v>
      </c>
      <c r="AR111" s="10">
        <v>108513</v>
      </c>
      <c r="AS111" s="10">
        <v>191312</v>
      </c>
      <c r="AT111" s="10">
        <v>48170.78</v>
      </c>
      <c r="AU111" s="10">
        <v>93396.56</v>
      </c>
      <c r="AV111" s="10">
        <v>98592</v>
      </c>
      <c r="AW111" s="10">
        <v>175767</v>
      </c>
      <c r="AX111" s="10">
        <v>35112</v>
      </c>
      <c r="AY111" s="10">
        <v>75298</v>
      </c>
      <c r="AZ111" s="10">
        <v>206958</v>
      </c>
      <c r="BA111" s="10">
        <v>411099</v>
      </c>
      <c r="BB111" s="10">
        <v>121775</v>
      </c>
      <c r="BC111" s="10">
        <v>237903</v>
      </c>
      <c r="BD111" s="10">
        <v>808806.45</v>
      </c>
      <c r="BE111" s="10">
        <v>1437595.7</v>
      </c>
      <c r="BF111" s="10">
        <v>346914</v>
      </c>
      <c r="BG111" s="10">
        <v>653373</v>
      </c>
      <c r="BH111" s="10">
        <v>310571</v>
      </c>
      <c r="BI111" s="10">
        <v>630477</v>
      </c>
      <c r="BJ111" s="10">
        <v>13701</v>
      </c>
      <c r="BK111" s="10">
        <v>33504</v>
      </c>
      <c r="BL111" s="63">
        <f t="shared" si="36"/>
        <v>3724730.1100000003</v>
      </c>
      <c r="BM111" s="63">
        <f t="shared" si="37"/>
        <v>7036903.9200000009</v>
      </c>
    </row>
  </sheetData>
  <mergeCells count="320">
    <mergeCell ref="AR4:AS4"/>
    <mergeCell ref="V4:W4"/>
    <mergeCell ref="X4:Y4"/>
    <mergeCell ref="Z4:AA4"/>
    <mergeCell ref="AB4:AC4"/>
    <mergeCell ref="AD4:AE4"/>
    <mergeCell ref="AF4:AG4"/>
    <mergeCell ref="L4:M4"/>
    <mergeCell ref="N4:O4"/>
    <mergeCell ref="P4:Q4"/>
    <mergeCell ref="R4:S4"/>
    <mergeCell ref="T4:U4"/>
    <mergeCell ref="BF4:BG4"/>
    <mergeCell ref="BH4:BI4"/>
    <mergeCell ref="BJ4:BK4"/>
    <mergeCell ref="BL4:BM4"/>
    <mergeCell ref="B15:C15"/>
    <mergeCell ref="D15:E15"/>
    <mergeCell ref="F15:G15"/>
    <mergeCell ref="H15:I15"/>
    <mergeCell ref="AT4:AU4"/>
    <mergeCell ref="AV4:AW4"/>
    <mergeCell ref="AX4:AY4"/>
    <mergeCell ref="AZ4:BA4"/>
    <mergeCell ref="BB4:BC4"/>
    <mergeCell ref="BD4:BE4"/>
    <mergeCell ref="AH4:AI4"/>
    <mergeCell ref="AJ4:AK4"/>
    <mergeCell ref="AL4:AM4"/>
    <mergeCell ref="AN4:AO4"/>
    <mergeCell ref="AP4:AQ4"/>
    <mergeCell ref="B4:C4"/>
    <mergeCell ref="D4:E4"/>
    <mergeCell ref="F4:G4"/>
    <mergeCell ref="H4:I4"/>
    <mergeCell ref="J4:K4"/>
    <mergeCell ref="BF26:BG26"/>
    <mergeCell ref="BH26:BI26"/>
    <mergeCell ref="Z26:AA26"/>
    <mergeCell ref="BJ15:BK15"/>
    <mergeCell ref="BL15:BM15"/>
    <mergeCell ref="AR15:AS15"/>
    <mergeCell ref="AT15:AU15"/>
    <mergeCell ref="AV15:AW15"/>
    <mergeCell ref="AX15:AY15"/>
    <mergeCell ref="AZ15:BA15"/>
    <mergeCell ref="BB15:BC15"/>
    <mergeCell ref="Z15:AA15"/>
    <mergeCell ref="AB15:AC15"/>
    <mergeCell ref="AD15:AE15"/>
    <mergeCell ref="BD15:BE15"/>
    <mergeCell ref="BF15:BG15"/>
    <mergeCell ref="BH15:BI15"/>
    <mergeCell ref="AF15:AG15"/>
    <mergeCell ref="AH15:AI15"/>
    <mergeCell ref="AJ15:AK15"/>
    <mergeCell ref="AL15:AM15"/>
    <mergeCell ref="AN15:AO15"/>
    <mergeCell ref="AP15:AQ15"/>
    <mergeCell ref="AL26:AM26"/>
    <mergeCell ref="AN26:AO26"/>
    <mergeCell ref="AP26:AQ26"/>
    <mergeCell ref="AR26:AS26"/>
    <mergeCell ref="V26:W26"/>
    <mergeCell ref="X26:Y26"/>
    <mergeCell ref="J15:K15"/>
    <mergeCell ref="L15:M15"/>
    <mergeCell ref="N15:O15"/>
    <mergeCell ref="AB26:AC26"/>
    <mergeCell ref="L26:M26"/>
    <mergeCell ref="N26:O26"/>
    <mergeCell ref="P26:Q26"/>
    <mergeCell ref="R26:S26"/>
    <mergeCell ref="T26:U26"/>
    <mergeCell ref="P15:Q15"/>
    <mergeCell ref="R15:S15"/>
    <mergeCell ref="T15:U15"/>
    <mergeCell ref="V15:W15"/>
    <mergeCell ref="X15:Y15"/>
    <mergeCell ref="BL37:BM37"/>
    <mergeCell ref="AD26:AE26"/>
    <mergeCell ref="AF26:AG26"/>
    <mergeCell ref="AT37:AU37"/>
    <mergeCell ref="AV37:AW37"/>
    <mergeCell ref="AX37:AY37"/>
    <mergeCell ref="AZ37:BA37"/>
    <mergeCell ref="BB37:BC37"/>
    <mergeCell ref="B26:C26"/>
    <mergeCell ref="D26:E26"/>
    <mergeCell ref="F26:G26"/>
    <mergeCell ref="H26:I26"/>
    <mergeCell ref="J26:K26"/>
    <mergeCell ref="BL26:BM26"/>
    <mergeCell ref="B37:C37"/>
    <mergeCell ref="D37:E37"/>
    <mergeCell ref="F37:G37"/>
    <mergeCell ref="H37:I37"/>
    <mergeCell ref="AT26:AU26"/>
    <mergeCell ref="AV26:AW26"/>
    <mergeCell ref="AX26:AY26"/>
    <mergeCell ref="AZ26:BA26"/>
    <mergeCell ref="BB26:BC26"/>
    <mergeCell ref="BD26:BE26"/>
    <mergeCell ref="BJ26:BK26"/>
    <mergeCell ref="B48:C48"/>
    <mergeCell ref="D48:E48"/>
    <mergeCell ref="F48:G48"/>
    <mergeCell ref="H48:I48"/>
    <mergeCell ref="J48:K48"/>
    <mergeCell ref="BD37:BE37"/>
    <mergeCell ref="BF37:BG37"/>
    <mergeCell ref="BH37:BI37"/>
    <mergeCell ref="AF37:AG37"/>
    <mergeCell ref="AH37:AI37"/>
    <mergeCell ref="AJ37:AK37"/>
    <mergeCell ref="AL37:AM37"/>
    <mergeCell ref="AN37:AO37"/>
    <mergeCell ref="AP37:AQ37"/>
    <mergeCell ref="V37:W37"/>
    <mergeCell ref="X37:Y37"/>
    <mergeCell ref="Z37:AA37"/>
    <mergeCell ref="AB37:AC37"/>
    <mergeCell ref="AD37:AE37"/>
    <mergeCell ref="J37:K37"/>
    <mergeCell ref="BJ37:BK37"/>
    <mergeCell ref="AH26:AI26"/>
    <mergeCell ref="AJ26:AK26"/>
    <mergeCell ref="AT48:AU48"/>
    <mergeCell ref="V48:W48"/>
    <mergeCell ref="X48:Y48"/>
    <mergeCell ref="Z48:AA48"/>
    <mergeCell ref="AD48:AE48"/>
    <mergeCell ref="AF48:AG48"/>
    <mergeCell ref="L48:M48"/>
    <mergeCell ref="N48:O48"/>
    <mergeCell ref="P48:Q48"/>
    <mergeCell ref="R48:S48"/>
    <mergeCell ref="AR48:AS48"/>
    <mergeCell ref="L37:M37"/>
    <mergeCell ref="N37:O37"/>
    <mergeCell ref="AB48:AC48"/>
    <mergeCell ref="AR37:AS37"/>
    <mergeCell ref="B59:C59"/>
    <mergeCell ref="D59:E59"/>
    <mergeCell ref="F59:G59"/>
    <mergeCell ref="H59:I59"/>
    <mergeCell ref="P37:Q37"/>
    <mergeCell ref="R37:S37"/>
    <mergeCell ref="T37:U37"/>
    <mergeCell ref="AV59:AW59"/>
    <mergeCell ref="AX59:AY59"/>
    <mergeCell ref="AZ59:BA59"/>
    <mergeCell ref="BB59:BC59"/>
    <mergeCell ref="P59:Q59"/>
    <mergeCell ref="R59:S59"/>
    <mergeCell ref="T59:U59"/>
    <mergeCell ref="BJ48:BK48"/>
    <mergeCell ref="BL48:BM48"/>
    <mergeCell ref="BD48:BE48"/>
    <mergeCell ref="BJ59:BK59"/>
    <mergeCell ref="BL59:BM59"/>
    <mergeCell ref="T48:U48"/>
    <mergeCell ref="BF48:BG48"/>
    <mergeCell ref="BH48:BI48"/>
    <mergeCell ref="AV48:AW48"/>
    <mergeCell ref="AX48:AY48"/>
    <mergeCell ref="AZ48:BA48"/>
    <mergeCell ref="BB48:BC48"/>
    <mergeCell ref="AH48:AI48"/>
    <mergeCell ref="AJ48:AK48"/>
    <mergeCell ref="AL48:AM48"/>
    <mergeCell ref="AN48:AO48"/>
    <mergeCell ref="AP48:AQ48"/>
    <mergeCell ref="D70:E70"/>
    <mergeCell ref="F70:G70"/>
    <mergeCell ref="H70:I70"/>
    <mergeCell ref="J70:K70"/>
    <mergeCell ref="BD59:BE59"/>
    <mergeCell ref="BF59:BG59"/>
    <mergeCell ref="BH59:BI59"/>
    <mergeCell ref="AF59:AG59"/>
    <mergeCell ref="AH59:AI59"/>
    <mergeCell ref="AJ59:AK59"/>
    <mergeCell ref="AL59:AM59"/>
    <mergeCell ref="AN59:AO59"/>
    <mergeCell ref="AP59:AQ59"/>
    <mergeCell ref="V59:W59"/>
    <mergeCell ref="X59:Y59"/>
    <mergeCell ref="Z59:AA59"/>
    <mergeCell ref="AB59:AC59"/>
    <mergeCell ref="AD59:AE59"/>
    <mergeCell ref="J59:K59"/>
    <mergeCell ref="L59:M59"/>
    <mergeCell ref="N59:O59"/>
    <mergeCell ref="AB70:AC70"/>
    <mergeCell ref="AR59:AS59"/>
    <mergeCell ref="AT59:AU59"/>
    <mergeCell ref="B81:C81"/>
    <mergeCell ref="D81:E81"/>
    <mergeCell ref="F81:G81"/>
    <mergeCell ref="H81:I81"/>
    <mergeCell ref="AT70:AU70"/>
    <mergeCell ref="AV70:AW70"/>
    <mergeCell ref="AX70:AY70"/>
    <mergeCell ref="AZ70:BA70"/>
    <mergeCell ref="AH70:AI70"/>
    <mergeCell ref="AJ70:AK70"/>
    <mergeCell ref="AL70:AM70"/>
    <mergeCell ref="AN70:AO70"/>
    <mergeCell ref="AP70:AQ70"/>
    <mergeCell ref="AR70:AS70"/>
    <mergeCell ref="V70:W70"/>
    <mergeCell ref="X70:Y70"/>
    <mergeCell ref="Z70:AA70"/>
    <mergeCell ref="AD70:AE70"/>
    <mergeCell ref="AF70:AG70"/>
    <mergeCell ref="L70:M70"/>
    <mergeCell ref="N70:O70"/>
    <mergeCell ref="P70:Q70"/>
    <mergeCell ref="R70:S70"/>
    <mergeCell ref="B70:C70"/>
    <mergeCell ref="AZ81:BA81"/>
    <mergeCell ref="BB81:BC81"/>
    <mergeCell ref="P81:Q81"/>
    <mergeCell ref="R81:S81"/>
    <mergeCell ref="T81:U81"/>
    <mergeCell ref="BJ70:BK70"/>
    <mergeCell ref="BL70:BM70"/>
    <mergeCell ref="BB70:BC70"/>
    <mergeCell ref="BD70:BE70"/>
    <mergeCell ref="BJ81:BK81"/>
    <mergeCell ref="BL81:BM81"/>
    <mergeCell ref="T70:U70"/>
    <mergeCell ref="BF70:BG70"/>
    <mergeCell ref="BH70:BI70"/>
    <mergeCell ref="F92:G92"/>
    <mergeCell ref="H92:I92"/>
    <mergeCell ref="J92:K92"/>
    <mergeCell ref="BD81:BE81"/>
    <mergeCell ref="BF81:BG81"/>
    <mergeCell ref="BH81:BI81"/>
    <mergeCell ref="AF81:AG81"/>
    <mergeCell ref="AH81:AI81"/>
    <mergeCell ref="AJ81:AK81"/>
    <mergeCell ref="AL81:AM81"/>
    <mergeCell ref="AN81:AO81"/>
    <mergeCell ref="AP81:AQ81"/>
    <mergeCell ref="V81:W81"/>
    <mergeCell ref="X81:Y81"/>
    <mergeCell ref="Z81:AA81"/>
    <mergeCell ref="AB81:AC81"/>
    <mergeCell ref="AD81:AE81"/>
    <mergeCell ref="J81:K81"/>
    <mergeCell ref="L81:M81"/>
    <mergeCell ref="N81:O81"/>
    <mergeCell ref="AR81:AS81"/>
    <mergeCell ref="AT81:AU81"/>
    <mergeCell ref="AV81:AW81"/>
    <mergeCell ref="AX81:AY81"/>
    <mergeCell ref="BL92:BM92"/>
    <mergeCell ref="B103:C103"/>
    <mergeCell ref="D103:E103"/>
    <mergeCell ref="F103:G103"/>
    <mergeCell ref="H103:I103"/>
    <mergeCell ref="AT92:AU92"/>
    <mergeCell ref="AV92:AW92"/>
    <mergeCell ref="AX92:AY92"/>
    <mergeCell ref="AZ92:BA92"/>
    <mergeCell ref="BB92:BC92"/>
    <mergeCell ref="BD92:BE92"/>
    <mergeCell ref="AH92:AI92"/>
    <mergeCell ref="AJ92:AK92"/>
    <mergeCell ref="AL92:AM92"/>
    <mergeCell ref="AN92:AO92"/>
    <mergeCell ref="AP92:AQ92"/>
    <mergeCell ref="AR92:AS92"/>
    <mergeCell ref="V92:W92"/>
    <mergeCell ref="X92:Y92"/>
    <mergeCell ref="Z92:AA92"/>
    <mergeCell ref="AB92:AC92"/>
    <mergeCell ref="AD92:AE92"/>
    <mergeCell ref="B92:C92"/>
    <mergeCell ref="D92:E92"/>
    <mergeCell ref="J103:K103"/>
    <mergeCell ref="L103:M103"/>
    <mergeCell ref="N103:O103"/>
    <mergeCell ref="P103:Q103"/>
    <mergeCell ref="R103:S103"/>
    <mergeCell ref="T103:U103"/>
    <mergeCell ref="BF92:BG92"/>
    <mergeCell ref="BH92:BI92"/>
    <mergeCell ref="BJ92:BK92"/>
    <mergeCell ref="AF92:AG92"/>
    <mergeCell ref="L92:M92"/>
    <mergeCell ref="N92:O92"/>
    <mergeCell ref="P92:Q92"/>
    <mergeCell ref="R92:S92"/>
    <mergeCell ref="T92:U92"/>
    <mergeCell ref="AF103:AG103"/>
    <mergeCell ref="AH103:AI103"/>
    <mergeCell ref="AJ103:AK103"/>
    <mergeCell ref="AL103:AM103"/>
    <mergeCell ref="AN103:AO103"/>
    <mergeCell ref="AP103:AQ103"/>
    <mergeCell ref="V103:W103"/>
    <mergeCell ref="BL103:BM103"/>
    <mergeCell ref="AR103:AS103"/>
    <mergeCell ref="AT103:AU103"/>
    <mergeCell ref="AV103:AW103"/>
    <mergeCell ref="AX103:AY103"/>
    <mergeCell ref="AZ103:BA103"/>
    <mergeCell ref="BB103:BC103"/>
    <mergeCell ref="X103:Y103"/>
    <mergeCell ref="Z103:AA103"/>
    <mergeCell ref="AB103:AC103"/>
    <mergeCell ref="AD103:AE103"/>
    <mergeCell ref="BD103:BE103"/>
    <mergeCell ref="BF103:BG103"/>
    <mergeCell ref="BH103:BI103"/>
    <mergeCell ref="BJ103:BK10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1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"/>
    </sheetView>
  </sheetViews>
  <sheetFormatPr defaultRowHeight="15" x14ac:dyDescent="0.25"/>
  <cols>
    <col min="1" max="1" width="41" style="6" bestFit="1" customWidth="1"/>
    <col min="2" max="31" width="16" style="6" customWidth="1"/>
    <col min="32" max="32" width="16" style="7" customWidth="1"/>
    <col min="33" max="65" width="16" style="6" customWidth="1"/>
    <col min="66" max="16384" width="9.140625" style="6"/>
  </cols>
  <sheetData>
    <row r="1" spans="1:65" ht="18.75" x14ac:dyDescent="0.3">
      <c r="A1" s="8" t="s">
        <v>181</v>
      </c>
    </row>
    <row r="2" spans="1:65" x14ac:dyDescent="0.25">
      <c r="A2" s="22" t="s">
        <v>98</v>
      </c>
    </row>
    <row r="3" spans="1:65" x14ac:dyDescent="0.25">
      <c r="A3" s="23" t="s">
        <v>182</v>
      </c>
    </row>
    <row r="4" spans="1:65" x14ac:dyDescent="0.25">
      <c r="A4" s="3" t="s">
        <v>0</v>
      </c>
      <c r="B4" s="147" t="s">
        <v>1</v>
      </c>
      <c r="C4" s="148"/>
      <c r="D4" s="147" t="s">
        <v>233</v>
      </c>
      <c r="E4" s="148"/>
      <c r="F4" s="147" t="s">
        <v>2</v>
      </c>
      <c r="G4" s="148"/>
      <c r="H4" s="147" t="s">
        <v>3</v>
      </c>
      <c r="I4" s="148"/>
      <c r="J4" s="147" t="s">
        <v>242</v>
      </c>
      <c r="K4" s="148"/>
      <c r="L4" s="147" t="s">
        <v>234</v>
      </c>
      <c r="M4" s="148"/>
      <c r="N4" s="147" t="s">
        <v>5</v>
      </c>
      <c r="O4" s="148"/>
      <c r="P4" s="147" t="s">
        <v>4</v>
      </c>
      <c r="Q4" s="148"/>
      <c r="R4" s="147" t="s">
        <v>6</v>
      </c>
      <c r="S4" s="148"/>
      <c r="T4" s="147" t="s">
        <v>254</v>
      </c>
      <c r="U4" s="148"/>
      <c r="V4" s="147" t="s">
        <v>7</v>
      </c>
      <c r="W4" s="148"/>
      <c r="X4" s="147" t="s">
        <v>8</v>
      </c>
      <c r="Y4" s="148"/>
      <c r="Z4" s="147" t="s">
        <v>9</v>
      </c>
      <c r="AA4" s="148"/>
      <c r="AB4" s="147" t="s">
        <v>241</v>
      </c>
      <c r="AC4" s="148"/>
      <c r="AD4" s="147" t="s">
        <v>10</v>
      </c>
      <c r="AE4" s="148"/>
      <c r="AF4" s="147" t="s">
        <v>11</v>
      </c>
      <c r="AG4" s="148"/>
      <c r="AH4" s="147" t="s">
        <v>235</v>
      </c>
      <c r="AI4" s="148"/>
      <c r="AJ4" s="147" t="s">
        <v>253</v>
      </c>
      <c r="AK4" s="148"/>
      <c r="AL4" s="147" t="s">
        <v>12</v>
      </c>
      <c r="AM4" s="148"/>
      <c r="AN4" s="147" t="s">
        <v>236</v>
      </c>
      <c r="AO4" s="148"/>
      <c r="AP4" s="147" t="s">
        <v>237</v>
      </c>
      <c r="AQ4" s="148"/>
      <c r="AR4" s="147" t="s">
        <v>240</v>
      </c>
      <c r="AS4" s="148"/>
      <c r="AT4" s="147" t="s">
        <v>13</v>
      </c>
      <c r="AU4" s="148"/>
      <c r="AV4" s="147" t="s">
        <v>14</v>
      </c>
      <c r="AW4" s="148"/>
      <c r="AX4" s="147" t="s">
        <v>15</v>
      </c>
      <c r="AY4" s="148"/>
      <c r="AZ4" s="147" t="s">
        <v>16</v>
      </c>
      <c r="BA4" s="148"/>
      <c r="BB4" s="147" t="s">
        <v>17</v>
      </c>
      <c r="BC4" s="148"/>
      <c r="BD4" s="147" t="s">
        <v>238</v>
      </c>
      <c r="BE4" s="148"/>
      <c r="BF4" s="147" t="s">
        <v>239</v>
      </c>
      <c r="BG4" s="148"/>
      <c r="BH4" s="147" t="s">
        <v>18</v>
      </c>
      <c r="BI4" s="148"/>
      <c r="BJ4" s="147" t="s">
        <v>19</v>
      </c>
      <c r="BK4" s="148"/>
      <c r="BL4" s="149" t="s">
        <v>20</v>
      </c>
      <c r="BM4" s="150"/>
    </row>
    <row r="5" spans="1:65" ht="30" x14ac:dyDescent="0.25">
      <c r="A5" s="3"/>
      <c r="B5" s="53" t="s">
        <v>243</v>
      </c>
      <c r="C5" s="54" t="s">
        <v>244</v>
      </c>
      <c r="D5" s="53" t="s">
        <v>243</v>
      </c>
      <c r="E5" s="54" t="s">
        <v>244</v>
      </c>
      <c r="F5" s="53" t="s">
        <v>243</v>
      </c>
      <c r="G5" s="54" t="s">
        <v>244</v>
      </c>
      <c r="H5" s="53" t="s">
        <v>243</v>
      </c>
      <c r="I5" s="54" t="s">
        <v>244</v>
      </c>
      <c r="J5" s="53" t="s">
        <v>243</v>
      </c>
      <c r="K5" s="54" t="s">
        <v>244</v>
      </c>
      <c r="L5" s="53" t="s">
        <v>243</v>
      </c>
      <c r="M5" s="54" t="s">
        <v>244</v>
      </c>
      <c r="N5" s="53" t="s">
        <v>243</v>
      </c>
      <c r="O5" s="54" t="s">
        <v>244</v>
      </c>
      <c r="P5" s="53" t="s">
        <v>243</v>
      </c>
      <c r="Q5" s="54" t="s">
        <v>244</v>
      </c>
      <c r="R5" s="53" t="s">
        <v>243</v>
      </c>
      <c r="S5" s="54" t="s">
        <v>244</v>
      </c>
      <c r="T5" s="53" t="s">
        <v>243</v>
      </c>
      <c r="U5" s="54" t="s">
        <v>244</v>
      </c>
      <c r="V5" s="53" t="s">
        <v>243</v>
      </c>
      <c r="W5" s="54" t="s">
        <v>244</v>
      </c>
      <c r="X5" s="53" t="s">
        <v>243</v>
      </c>
      <c r="Y5" s="54" t="s">
        <v>244</v>
      </c>
      <c r="Z5" s="53" t="s">
        <v>243</v>
      </c>
      <c r="AA5" s="54" t="s">
        <v>244</v>
      </c>
      <c r="AB5" s="53" t="s">
        <v>243</v>
      </c>
      <c r="AC5" s="54" t="s">
        <v>244</v>
      </c>
      <c r="AD5" s="53" t="s">
        <v>243</v>
      </c>
      <c r="AE5" s="54" t="s">
        <v>244</v>
      </c>
      <c r="AF5" s="53" t="s">
        <v>243</v>
      </c>
      <c r="AG5" s="54" t="s">
        <v>244</v>
      </c>
      <c r="AH5" s="53" t="s">
        <v>243</v>
      </c>
      <c r="AI5" s="54" t="s">
        <v>244</v>
      </c>
      <c r="AJ5" s="53" t="s">
        <v>243</v>
      </c>
      <c r="AK5" s="54" t="s">
        <v>244</v>
      </c>
      <c r="AL5" s="53" t="s">
        <v>243</v>
      </c>
      <c r="AM5" s="54" t="s">
        <v>244</v>
      </c>
      <c r="AN5" s="53" t="s">
        <v>243</v>
      </c>
      <c r="AO5" s="54" t="s">
        <v>244</v>
      </c>
      <c r="AP5" s="53" t="s">
        <v>243</v>
      </c>
      <c r="AQ5" s="54" t="s">
        <v>244</v>
      </c>
      <c r="AR5" s="53" t="s">
        <v>243</v>
      </c>
      <c r="AS5" s="54" t="s">
        <v>244</v>
      </c>
      <c r="AT5" s="53" t="s">
        <v>243</v>
      </c>
      <c r="AU5" s="54" t="s">
        <v>244</v>
      </c>
      <c r="AV5" s="53" t="s">
        <v>243</v>
      </c>
      <c r="AW5" s="54" t="s">
        <v>244</v>
      </c>
      <c r="AX5" s="53" t="s">
        <v>243</v>
      </c>
      <c r="AY5" s="54" t="s">
        <v>244</v>
      </c>
      <c r="AZ5" s="53" t="s">
        <v>243</v>
      </c>
      <c r="BA5" s="54" t="s">
        <v>244</v>
      </c>
      <c r="BB5" s="53" t="s">
        <v>243</v>
      </c>
      <c r="BC5" s="54" t="s">
        <v>244</v>
      </c>
      <c r="BD5" s="53" t="s">
        <v>243</v>
      </c>
      <c r="BE5" s="54" t="s">
        <v>244</v>
      </c>
      <c r="BF5" s="53" t="s">
        <v>243</v>
      </c>
      <c r="BG5" s="54" t="s">
        <v>244</v>
      </c>
      <c r="BH5" s="53" t="s">
        <v>243</v>
      </c>
      <c r="BI5" s="54" t="s">
        <v>244</v>
      </c>
      <c r="BJ5" s="53" t="s">
        <v>243</v>
      </c>
      <c r="BK5" s="54" t="s">
        <v>244</v>
      </c>
      <c r="BL5" s="105" t="s">
        <v>243</v>
      </c>
      <c r="BM5" s="106" t="s">
        <v>244</v>
      </c>
    </row>
    <row r="6" spans="1:65" x14ac:dyDescent="0.25">
      <c r="A6" s="24" t="s">
        <v>304</v>
      </c>
      <c r="B6" s="9"/>
      <c r="C6" s="9"/>
      <c r="D6" s="9"/>
      <c r="E6" s="9"/>
      <c r="F6" s="9"/>
      <c r="G6" s="9"/>
      <c r="H6" s="92"/>
      <c r="I6" s="76"/>
      <c r="J6" s="76"/>
      <c r="K6" s="76"/>
      <c r="L6" s="92">
        <v>2193</v>
      </c>
      <c r="M6" s="92">
        <v>4001</v>
      </c>
      <c r="N6" s="76"/>
      <c r="O6" s="76"/>
      <c r="P6" s="92">
        <v>16.86</v>
      </c>
      <c r="Q6" s="92">
        <v>86.54</v>
      </c>
      <c r="R6" s="92">
        <v>786.58</v>
      </c>
      <c r="S6" s="92">
        <v>1953.68</v>
      </c>
      <c r="T6" s="92">
        <v>324</v>
      </c>
      <c r="U6" s="92">
        <v>1081</v>
      </c>
      <c r="V6" s="92">
        <v>2316</v>
      </c>
      <c r="W6" s="92">
        <v>5613</v>
      </c>
      <c r="X6" s="92">
        <v>3464</v>
      </c>
      <c r="Y6" s="92">
        <v>9169</v>
      </c>
      <c r="Z6" s="92">
        <v>1450</v>
      </c>
      <c r="AA6" s="92">
        <v>4028</v>
      </c>
      <c r="AB6" s="92">
        <v>85.38</v>
      </c>
      <c r="AC6" s="92">
        <v>160.56</v>
      </c>
      <c r="AD6" s="76"/>
      <c r="AE6" s="76"/>
      <c r="AF6" s="69">
        <v>190.92</v>
      </c>
      <c r="AG6" s="92">
        <v>452.19</v>
      </c>
      <c r="AH6" s="9"/>
      <c r="AI6" s="9"/>
      <c r="AJ6" s="9"/>
      <c r="AK6" s="9"/>
      <c r="AL6" s="76"/>
      <c r="AM6" s="76"/>
      <c r="AN6" s="92">
        <v>95</v>
      </c>
      <c r="AO6" s="92">
        <v>85</v>
      </c>
      <c r="AP6" s="92">
        <v>54</v>
      </c>
      <c r="AQ6" s="92">
        <v>88</v>
      </c>
      <c r="AR6" s="9">
        <v>1159</v>
      </c>
      <c r="AS6" s="9">
        <v>4337</v>
      </c>
      <c r="AT6" s="76"/>
      <c r="AU6" s="76"/>
      <c r="AV6" s="92">
        <v>2594</v>
      </c>
      <c r="AW6" s="92">
        <v>5441</v>
      </c>
      <c r="AX6" s="92">
        <v>114</v>
      </c>
      <c r="AY6" s="92">
        <v>207</v>
      </c>
      <c r="AZ6" s="9"/>
      <c r="BA6" s="9"/>
      <c r="BB6" s="92">
        <v>3226</v>
      </c>
      <c r="BC6" s="92">
        <v>7196</v>
      </c>
      <c r="BD6" s="76"/>
      <c r="BE6" s="76"/>
      <c r="BF6" s="92">
        <v>3761</v>
      </c>
      <c r="BG6" s="92">
        <v>8374</v>
      </c>
      <c r="BH6" s="9"/>
      <c r="BI6" s="9"/>
      <c r="BJ6" s="92">
        <v>422</v>
      </c>
      <c r="BK6" s="92">
        <v>889</v>
      </c>
      <c r="BL6" s="68">
        <f>SUM(B6+D6+F6+H6+J6+L6+N6+P6+R6+T6+V6+X6+Z6+AB6+AD6+AF6+AH6+AJ6+AL6+AN6+AP6+AR6+AT6+AV6+AX6+AZ6+BB6+BD6+BF6+BH6+BJ6)</f>
        <v>22251.739999999998</v>
      </c>
      <c r="BM6" s="68">
        <f>SUM(C6+E6+G6+I6+K6+M6+O6+Q6+S6+U6+W6+Y6+AA6+AC6+AE6+AG6+AI6+AK6+AM6+AO6+AQ6+AS6+AU6+AW6+AY6+BA6+BC6+BE6+BG6+BI6+BK6)</f>
        <v>53161.97</v>
      </c>
    </row>
    <row r="7" spans="1:65" s="71" customFormat="1" x14ac:dyDescent="0.25">
      <c r="A7" s="24" t="s">
        <v>305</v>
      </c>
      <c r="B7" s="92"/>
      <c r="C7" s="92"/>
      <c r="D7" s="92"/>
      <c r="E7" s="92"/>
      <c r="F7" s="92"/>
      <c r="G7" s="92"/>
      <c r="H7" s="92">
        <v>326</v>
      </c>
      <c r="I7" s="92">
        <v>949</v>
      </c>
      <c r="J7" s="92"/>
      <c r="K7" s="92"/>
      <c r="L7" s="92">
        <v>56</v>
      </c>
      <c r="M7" s="92">
        <v>121</v>
      </c>
      <c r="N7" s="92"/>
      <c r="O7" s="92"/>
      <c r="P7" s="92">
        <v>7.26</v>
      </c>
      <c r="Q7" s="92">
        <v>7.87</v>
      </c>
      <c r="R7" s="92"/>
      <c r="S7" s="92"/>
      <c r="T7" s="92">
        <v>69</v>
      </c>
      <c r="U7" s="92">
        <v>272</v>
      </c>
      <c r="V7" s="92">
        <v>527</v>
      </c>
      <c r="W7" s="92">
        <v>1378</v>
      </c>
      <c r="X7" s="92">
        <v>867</v>
      </c>
      <c r="Y7" s="92">
        <v>2329</v>
      </c>
      <c r="Z7" s="92">
        <v>300</v>
      </c>
      <c r="AA7" s="92">
        <v>943</v>
      </c>
      <c r="AB7" s="92">
        <v>3.52</v>
      </c>
      <c r="AC7" s="92">
        <v>15.73</v>
      </c>
      <c r="AD7" s="92"/>
      <c r="AE7" s="92"/>
      <c r="AF7" s="69">
        <v>31.85</v>
      </c>
      <c r="AG7" s="92">
        <v>140.29</v>
      </c>
      <c r="AH7" s="92"/>
      <c r="AI7" s="92"/>
      <c r="AJ7" s="92"/>
      <c r="AK7" s="92"/>
      <c r="AL7" s="92"/>
      <c r="AM7" s="92"/>
      <c r="AN7" s="92"/>
      <c r="AO7" s="92"/>
      <c r="AP7" s="92">
        <v>14</v>
      </c>
      <c r="AQ7" s="92">
        <v>17</v>
      </c>
      <c r="AR7" s="92">
        <v>331</v>
      </c>
      <c r="AS7" s="92">
        <v>1053</v>
      </c>
      <c r="AT7" s="92"/>
      <c r="AU7" s="92"/>
      <c r="AV7" s="92">
        <v>309</v>
      </c>
      <c r="AW7" s="92">
        <v>889</v>
      </c>
      <c r="AX7" s="92">
        <v>15</v>
      </c>
      <c r="AY7" s="92">
        <v>26</v>
      </c>
      <c r="AZ7" s="92"/>
      <c r="BA7" s="92"/>
      <c r="BB7" s="92">
        <v>628</v>
      </c>
      <c r="BC7" s="92">
        <v>1405</v>
      </c>
      <c r="BD7" s="92"/>
      <c r="BE7" s="92"/>
      <c r="BF7" s="92">
        <v>0</v>
      </c>
      <c r="BG7" s="92">
        <v>0</v>
      </c>
      <c r="BH7" s="92"/>
      <c r="BI7" s="92"/>
      <c r="BJ7" s="92">
        <v>46</v>
      </c>
      <c r="BK7" s="92">
        <v>267</v>
      </c>
      <c r="BL7" s="68">
        <f t="shared" ref="BL7:BL12" si="0">SUM(B7+D7+F7+H7+J7+L7+N7+P7+R7+T7+V7+X7+Z7+AB7+AD7+AF7+AH7+AJ7+AL7+AN7+AP7+AR7+AT7+AV7+AX7+AZ7+BB7+BD7+BF7+BH7+BJ7)</f>
        <v>3530.63</v>
      </c>
      <c r="BM7" s="68">
        <f t="shared" ref="BM7:BM12" si="1">SUM(C7+E7+G7+I7+K7+M7+O7+Q7+S7+U7+W7+Y7+AA7+AC7+AE7+AG7+AI7+AK7+AM7+AO7+AQ7+AS7+AU7+AW7+AY7+BA7+BC7+BE7+BG7+BI7+BK7)</f>
        <v>9812.89</v>
      </c>
    </row>
    <row r="8" spans="1:65" s="71" customFormat="1" x14ac:dyDescent="0.25">
      <c r="A8" s="24" t="s">
        <v>306</v>
      </c>
      <c r="B8" s="92"/>
      <c r="C8" s="92"/>
      <c r="D8" s="92"/>
      <c r="E8" s="92"/>
      <c r="F8" s="92"/>
      <c r="G8" s="92"/>
      <c r="H8" s="92">
        <v>2863</v>
      </c>
      <c r="I8" s="92">
        <v>6408</v>
      </c>
      <c r="J8" s="92"/>
      <c r="K8" s="92"/>
      <c r="L8" s="92"/>
      <c r="M8" s="92"/>
      <c r="N8" s="92"/>
      <c r="O8" s="92"/>
      <c r="P8" s="92"/>
      <c r="Q8" s="92"/>
      <c r="R8" s="92">
        <v>116.1</v>
      </c>
      <c r="S8" s="92">
        <v>226.71</v>
      </c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69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>
        <v>0</v>
      </c>
      <c r="BG8" s="92">
        <v>0</v>
      </c>
      <c r="BH8" s="92"/>
      <c r="BI8" s="92"/>
      <c r="BJ8" s="92"/>
      <c r="BK8" s="92"/>
      <c r="BL8" s="68">
        <f t="shared" si="0"/>
        <v>2979.1</v>
      </c>
      <c r="BM8" s="68">
        <f t="shared" si="1"/>
        <v>6634.71</v>
      </c>
    </row>
    <row r="9" spans="1:65" s="7" customFormat="1" x14ac:dyDescent="0.25">
      <c r="A9" s="10" t="s">
        <v>307</v>
      </c>
      <c r="B9" s="10"/>
      <c r="C9" s="10"/>
      <c r="D9" s="10"/>
      <c r="E9" s="10"/>
      <c r="F9" s="10"/>
      <c r="G9" s="10"/>
      <c r="H9" s="10">
        <v>3189</v>
      </c>
      <c r="I9" s="10">
        <v>7357</v>
      </c>
      <c r="J9" s="10"/>
      <c r="K9" s="10"/>
      <c r="L9" s="10">
        <v>2249</v>
      </c>
      <c r="M9" s="10">
        <v>4122</v>
      </c>
      <c r="N9" s="10"/>
      <c r="O9" s="10"/>
      <c r="P9" s="10">
        <v>24.12</v>
      </c>
      <c r="Q9" s="10">
        <v>94.41</v>
      </c>
      <c r="R9" s="10">
        <v>902.68</v>
      </c>
      <c r="S9" s="10">
        <v>2180.39</v>
      </c>
      <c r="T9" s="10">
        <v>393</v>
      </c>
      <c r="U9" s="10">
        <v>1353</v>
      </c>
      <c r="V9" s="10">
        <v>2843</v>
      </c>
      <c r="W9" s="10">
        <v>6991</v>
      </c>
      <c r="X9" s="10">
        <v>4331</v>
      </c>
      <c r="Y9" s="10">
        <v>11498</v>
      </c>
      <c r="Z9" s="10">
        <v>1750</v>
      </c>
      <c r="AA9" s="10">
        <v>4971</v>
      </c>
      <c r="AB9" s="10">
        <v>88.9</v>
      </c>
      <c r="AC9" s="10">
        <v>176.29</v>
      </c>
      <c r="AD9" s="10">
        <v>233.72</v>
      </c>
      <c r="AE9" s="10">
        <v>603.35</v>
      </c>
      <c r="AF9" s="10">
        <v>222.78</v>
      </c>
      <c r="AG9" s="10">
        <v>592.49</v>
      </c>
      <c r="AH9" s="10"/>
      <c r="AI9" s="10"/>
      <c r="AJ9" s="10"/>
      <c r="AK9" s="10"/>
      <c r="AL9" s="10">
        <v>2150.4499999999998</v>
      </c>
      <c r="AM9" s="10">
        <v>4924.7700000000004</v>
      </c>
      <c r="AN9" s="10">
        <v>95</v>
      </c>
      <c r="AO9" s="10">
        <v>85</v>
      </c>
      <c r="AP9" s="10">
        <v>68</v>
      </c>
      <c r="AQ9" s="10">
        <v>105</v>
      </c>
      <c r="AR9" s="10">
        <v>1491</v>
      </c>
      <c r="AS9" s="10">
        <v>5390</v>
      </c>
      <c r="AT9" s="10">
        <v>776.86</v>
      </c>
      <c r="AU9" s="10">
        <v>1972.37</v>
      </c>
      <c r="AV9" s="10">
        <v>2903</v>
      </c>
      <c r="AW9" s="10">
        <v>6330</v>
      </c>
      <c r="AX9" s="10">
        <v>129</v>
      </c>
      <c r="AY9" s="10">
        <v>232</v>
      </c>
      <c r="AZ9" s="10"/>
      <c r="BA9" s="10"/>
      <c r="BB9" s="10">
        <v>3854</v>
      </c>
      <c r="BC9" s="10">
        <v>8601</v>
      </c>
      <c r="BD9" s="10">
        <v>12188.24</v>
      </c>
      <c r="BE9" s="10">
        <v>27893.99</v>
      </c>
      <c r="BF9" s="10">
        <v>3761</v>
      </c>
      <c r="BG9" s="10">
        <v>8374</v>
      </c>
      <c r="BH9" s="10">
        <v>3973</v>
      </c>
      <c r="BI9" s="10">
        <v>8705</v>
      </c>
      <c r="BJ9" s="10">
        <v>468</v>
      </c>
      <c r="BK9" s="10">
        <v>1157</v>
      </c>
      <c r="BL9" s="63">
        <f t="shared" si="0"/>
        <v>48084.75</v>
      </c>
      <c r="BM9" s="63">
        <f t="shared" si="1"/>
        <v>113709.06000000001</v>
      </c>
    </row>
    <row r="10" spans="1:65" x14ac:dyDescent="0.25">
      <c r="A10" s="24" t="s">
        <v>308</v>
      </c>
      <c r="B10" s="9"/>
      <c r="C10" s="9"/>
      <c r="D10" s="9"/>
      <c r="E10" s="9"/>
      <c r="F10" s="9"/>
      <c r="G10" s="9"/>
      <c r="H10" s="92">
        <v>287</v>
      </c>
      <c r="I10" s="92">
        <v>443</v>
      </c>
      <c r="J10" s="76"/>
      <c r="K10" s="76"/>
      <c r="L10" s="92">
        <v>18</v>
      </c>
      <c r="M10" s="92">
        <v>23</v>
      </c>
      <c r="N10" s="76"/>
      <c r="O10" s="76"/>
      <c r="P10" s="92">
        <v>33.049999999999997</v>
      </c>
      <c r="Q10" s="92">
        <v>43.1</v>
      </c>
      <c r="R10" s="92">
        <v>85.35</v>
      </c>
      <c r="S10" s="92">
        <v>391.38</v>
      </c>
      <c r="T10" s="92">
        <v>718</v>
      </c>
      <c r="U10" s="92">
        <v>2544</v>
      </c>
      <c r="V10" s="92">
        <v>356</v>
      </c>
      <c r="W10" s="92">
        <v>1146</v>
      </c>
      <c r="X10" s="92">
        <v>449</v>
      </c>
      <c r="Y10" s="92">
        <v>778</v>
      </c>
      <c r="Z10" s="92">
        <v>248</v>
      </c>
      <c r="AA10" s="92">
        <v>381</v>
      </c>
      <c r="AB10" s="92">
        <v>18.47</v>
      </c>
      <c r="AC10" s="92">
        <v>34.799999999999997</v>
      </c>
      <c r="AD10" s="92">
        <v>28.21</v>
      </c>
      <c r="AE10" s="92">
        <v>34.49</v>
      </c>
      <c r="AF10" s="69">
        <v>62.27</v>
      </c>
      <c r="AG10" s="92">
        <v>288.37</v>
      </c>
      <c r="AH10" s="9"/>
      <c r="AI10" s="9"/>
      <c r="AJ10" s="9"/>
      <c r="AK10" s="9"/>
      <c r="AL10" s="92">
        <v>654.54</v>
      </c>
      <c r="AM10" s="92">
        <v>813.09</v>
      </c>
      <c r="AN10" s="92">
        <v>4</v>
      </c>
      <c r="AO10" s="92">
        <v>5</v>
      </c>
      <c r="AP10" s="92">
        <v>19</v>
      </c>
      <c r="AQ10" s="92">
        <v>57</v>
      </c>
      <c r="AR10" s="9">
        <v>150</v>
      </c>
      <c r="AS10" s="9">
        <v>189</v>
      </c>
      <c r="AT10" s="92">
        <v>189.78</v>
      </c>
      <c r="AU10" s="92">
        <v>587.23</v>
      </c>
      <c r="AV10" s="92">
        <v>36</v>
      </c>
      <c r="AW10" s="92">
        <v>46</v>
      </c>
      <c r="AX10" s="92">
        <v>43</v>
      </c>
      <c r="AY10" s="92">
        <v>54</v>
      </c>
      <c r="AZ10" s="9"/>
      <c r="BA10" s="9"/>
      <c r="BB10" s="92">
        <v>359</v>
      </c>
      <c r="BC10" s="92">
        <v>737</v>
      </c>
      <c r="BD10" s="92">
        <v>4702.6099999999997</v>
      </c>
      <c r="BE10" s="92">
        <v>8022.22</v>
      </c>
      <c r="BF10" s="92">
        <v>760</v>
      </c>
      <c r="BG10" s="92">
        <v>1118</v>
      </c>
      <c r="BH10" s="92">
        <v>353</v>
      </c>
      <c r="BI10" s="92">
        <v>1129</v>
      </c>
      <c r="BJ10" s="92">
        <v>21</v>
      </c>
      <c r="BK10" s="92">
        <v>27</v>
      </c>
      <c r="BL10" s="68">
        <f t="shared" si="0"/>
        <v>9595.2799999999988</v>
      </c>
      <c r="BM10" s="68">
        <f t="shared" si="1"/>
        <v>18891.68</v>
      </c>
    </row>
    <row r="11" spans="1:65" x14ac:dyDescent="0.25">
      <c r="A11" s="24" t="s">
        <v>309</v>
      </c>
      <c r="B11" s="76"/>
      <c r="C11" s="76"/>
      <c r="D11" s="9"/>
      <c r="E11" s="9"/>
      <c r="F11" s="9"/>
      <c r="G11" s="9"/>
      <c r="H11" s="92">
        <v>-7672</v>
      </c>
      <c r="I11" s="92">
        <v>-24069</v>
      </c>
      <c r="J11" s="76"/>
      <c r="K11" s="76"/>
      <c r="L11" s="92">
        <v>1558</v>
      </c>
      <c r="M11" s="92">
        <v>3275</v>
      </c>
      <c r="N11" s="76"/>
      <c r="O11" s="76"/>
      <c r="P11" s="92">
        <v>37.869999999999997</v>
      </c>
      <c r="Q11" s="92">
        <v>147.03</v>
      </c>
      <c r="R11" s="92">
        <v>1782.21</v>
      </c>
      <c r="S11" s="92">
        <v>4751.3500000000004</v>
      </c>
      <c r="T11" s="92">
        <v>-1564</v>
      </c>
      <c r="U11" s="92">
        <v>-5489</v>
      </c>
      <c r="V11" s="92">
        <v>-5573</v>
      </c>
      <c r="W11" s="92">
        <v>-14379</v>
      </c>
      <c r="X11" s="92">
        <v>7143</v>
      </c>
      <c r="Y11" s="92">
        <v>20399</v>
      </c>
      <c r="Z11" s="92">
        <v>3422</v>
      </c>
      <c r="AA11" s="92">
        <v>8642</v>
      </c>
      <c r="AB11" s="92">
        <v>151.33000000000001</v>
      </c>
      <c r="AC11" s="92">
        <v>303.89999999999998</v>
      </c>
      <c r="AD11" s="92">
        <v>233.49</v>
      </c>
      <c r="AE11" s="92">
        <v>730.98</v>
      </c>
      <c r="AF11" s="69">
        <v>-237.62</v>
      </c>
      <c r="AG11" s="92">
        <v>-888.74</v>
      </c>
      <c r="AH11" s="9"/>
      <c r="AI11" s="9"/>
      <c r="AJ11" s="9"/>
      <c r="AK11" s="9"/>
      <c r="AL11" s="92">
        <v>873.72</v>
      </c>
      <c r="AM11" s="92">
        <v>1004.54</v>
      </c>
      <c r="AN11" s="92">
        <v>-10</v>
      </c>
      <c r="AO11" s="92">
        <v>-3</v>
      </c>
      <c r="AP11" s="92">
        <v>88</v>
      </c>
      <c r="AQ11" s="92">
        <v>187</v>
      </c>
      <c r="AR11" s="9">
        <v>2299</v>
      </c>
      <c r="AS11" s="9">
        <v>6810</v>
      </c>
      <c r="AT11" s="92">
        <v>-1076.81</v>
      </c>
      <c r="AU11" s="92">
        <v>-3284.48</v>
      </c>
      <c r="AV11" s="92">
        <v>15055</v>
      </c>
      <c r="AW11" s="92">
        <v>19079</v>
      </c>
      <c r="AX11" s="92">
        <v>59</v>
      </c>
      <c r="AY11" s="92">
        <v>108</v>
      </c>
      <c r="AZ11" s="9"/>
      <c r="BA11" s="9"/>
      <c r="BB11" s="92">
        <v>6047</v>
      </c>
      <c r="BC11" s="92">
        <v>15542</v>
      </c>
      <c r="BD11" s="92">
        <v>5512.67</v>
      </c>
      <c r="BE11" s="92">
        <v>14463.98</v>
      </c>
      <c r="BF11" s="92">
        <v>1929</v>
      </c>
      <c r="BG11" s="92">
        <v>5039</v>
      </c>
      <c r="BH11" s="92">
        <v>1313</v>
      </c>
      <c r="BI11" s="92">
        <v>3512</v>
      </c>
      <c r="BJ11" s="92">
        <v>202</v>
      </c>
      <c r="BK11" s="92">
        <v>961</v>
      </c>
      <c r="BL11" s="68">
        <f t="shared" si="0"/>
        <v>31572.86</v>
      </c>
      <c r="BM11" s="68">
        <f t="shared" si="1"/>
        <v>56842.559999999998</v>
      </c>
    </row>
    <row r="12" spans="1:65" s="7" customFormat="1" x14ac:dyDescent="0.25">
      <c r="A12" s="10" t="s">
        <v>190</v>
      </c>
      <c r="B12" s="10"/>
      <c r="C12" s="10"/>
      <c r="D12" s="10"/>
      <c r="E12" s="10"/>
      <c r="F12" s="10"/>
      <c r="G12" s="10"/>
      <c r="H12" s="10">
        <v>-4195</v>
      </c>
      <c r="I12" s="10">
        <v>-16269</v>
      </c>
      <c r="J12" s="10"/>
      <c r="K12" s="10"/>
      <c r="L12" s="10">
        <v>708</v>
      </c>
      <c r="M12" s="10">
        <v>869</v>
      </c>
      <c r="N12" s="10"/>
      <c r="O12" s="10"/>
      <c r="P12" s="10">
        <v>19.3</v>
      </c>
      <c r="Q12" s="10">
        <v>-9.52</v>
      </c>
      <c r="R12" s="10">
        <v>-794.18</v>
      </c>
      <c r="S12" s="10">
        <v>-2179.58</v>
      </c>
      <c r="T12" s="10">
        <v>-452</v>
      </c>
      <c r="U12" s="10">
        <v>-1592</v>
      </c>
      <c r="V12" s="10">
        <v>-2374</v>
      </c>
      <c r="W12" s="10">
        <v>-6241</v>
      </c>
      <c r="X12" s="10">
        <v>-2363</v>
      </c>
      <c r="Y12" s="10">
        <v>-8123</v>
      </c>
      <c r="Z12" s="10">
        <v>-1424</v>
      </c>
      <c r="AA12" s="10">
        <v>-3289</v>
      </c>
      <c r="AB12" s="10">
        <v>-43.96</v>
      </c>
      <c r="AC12" s="10">
        <v>-92.81</v>
      </c>
      <c r="AD12" s="10">
        <v>28.44</v>
      </c>
      <c r="AE12" s="10">
        <v>-93.14</v>
      </c>
      <c r="AF12" s="10">
        <v>47.43</v>
      </c>
      <c r="AG12" s="10">
        <v>-7.88</v>
      </c>
      <c r="AH12" s="10"/>
      <c r="AI12" s="10"/>
      <c r="AJ12" s="10"/>
      <c r="AK12" s="10"/>
      <c r="AL12" s="10">
        <v>1931.27</v>
      </c>
      <c r="AM12" s="10">
        <v>4733.32</v>
      </c>
      <c r="AN12" s="10">
        <v>89</v>
      </c>
      <c r="AO12" s="10">
        <v>87</v>
      </c>
      <c r="AP12" s="10">
        <v>-1</v>
      </c>
      <c r="AQ12" s="10">
        <v>-25</v>
      </c>
      <c r="AR12" s="10">
        <v>-658</v>
      </c>
      <c r="AS12" s="10">
        <v>-1231</v>
      </c>
      <c r="AT12" s="10">
        <v>-110.17</v>
      </c>
      <c r="AU12" s="10">
        <v>-724.88</v>
      </c>
      <c r="AV12" s="10">
        <v>-12116</v>
      </c>
      <c r="AW12" s="10">
        <v>-12704</v>
      </c>
      <c r="AX12" s="10">
        <v>112</v>
      </c>
      <c r="AY12" s="10">
        <v>178</v>
      </c>
      <c r="AZ12" s="10"/>
      <c r="BA12" s="10"/>
      <c r="BB12" s="10">
        <v>-1834</v>
      </c>
      <c r="BC12" s="10">
        <v>-6205</v>
      </c>
      <c r="BD12" s="10">
        <v>11378.18</v>
      </c>
      <c r="BE12" s="10">
        <v>21452.23</v>
      </c>
      <c r="BF12" s="10">
        <v>2592</v>
      </c>
      <c r="BG12" s="10">
        <v>4452</v>
      </c>
      <c r="BH12" s="10">
        <v>3013</v>
      </c>
      <c r="BI12" s="10">
        <v>6322</v>
      </c>
      <c r="BJ12" s="10">
        <v>288</v>
      </c>
      <c r="BK12" s="10">
        <v>223</v>
      </c>
      <c r="BL12" s="63">
        <f t="shared" si="0"/>
        <v>-6158.6899999999987</v>
      </c>
      <c r="BM12" s="63">
        <f t="shared" si="1"/>
        <v>-20470.259999999991</v>
      </c>
    </row>
    <row r="13" spans="1:65" x14ac:dyDescent="0.25">
      <c r="A13" s="22"/>
    </row>
    <row r="14" spans="1:65" x14ac:dyDescent="0.25">
      <c r="A14" s="23" t="s">
        <v>183</v>
      </c>
    </row>
    <row r="15" spans="1:65" x14ac:dyDescent="0.25">
      <c r="A15" s="3" t="s">
        <v>0</v>
      </c>
      <c r="B15" s="147" t="s">
        <v>1</v>
      </c>
      <c r="C15" s="148"/>
      <c r="D15" s="147" t="s">
        <v>233</v>
      </c>
      <c r="E15" s="148"/>
      <c r="F15" s="147" t="s">
        <v>2</v>
      </c>
      <c r="G15" s="148"/>
      <c r="H15" s="147" t="s">
        <v>3</v>
      </c>
      <c r="I15" s="148"/>
      <c r="J15" s="147" t="s">
        <v>242</v>
      </c>
      <c r="K15" s="148"/>
      <c r="L15" s="147" t="s">
        <v>234</v>
      </c>
      <c r="M15" s="148"/>
      <c r="N15" s="147" t="s">
        <v>5</v>
      </c>
      <c r="O15" s="148"/>
      <c r="P15" s="147" t="s">
        <v>4</v>
      </c>
      <c r="Q15" s="148"/>
      <c r="R15" s="147" t="s">
        <v>6</v>
      </c>
      <c r="S15" s="148"/>
      <c r="T15" s="147" t="s">
        <v>254</v>
      </c>
      <c r="U15" s="148"/>
      <c r="V15" s="147" t="s">
        <v>7</v>
      </c>
      <c r="W15" s="148"/>
      <c r="X15" s="147" t="s">
        <v>8</v>
      </c>
      <c r="Y15" s="148"/>
      <c r="Z15" s="147" t="s">
        <v>9</v>
      </c>
      <c r="AA15" s="148"/>
      <c r="AB15" s="147" t="s">
        <v>241</v>
      </c>
      <c r="AC15" s="148"/>
      <c r="AD15" s="147" t="s">
        <v>10</v>
      </c>
      <c r="AE15" s="148"/>
      <c r="AF15" s="147" t="s">
        <v>11</v>
      </c>
      <c r="AG15" s="148"/>
      <c r="AH15" s="147" t="s">
        <v>235</v>
      </c>
      <c r="AI15" s="148"/>
      <c r="AJ15" s="147" t="s">
        <v>253</v>
      </c>
      <c r="AK15" s="148"/>
      <c r="AL15" s="147" t="s">
        <v>12</v>
      </c>
      <c r="AM15" s="148"/>
      <c r="AN15" s="147" t="s">
        <v>236</v>
      </c>
      <c r="AO15" s="148"/>
      <c r="AP15" s="147" t="s">
        <v>237</v>
      </c>
      <c r="AQ15" s="148"/>
      <c r="AR15" s="147" t="s">
        <v>240</v>
      </c>
      <c r="AS15" s="148"/>
      <c r="AT15" s="147" t="s">
        <v>13</v>
      </c>
      <c r="AU15" s="148"/>
      <c r="AV15" s="147" t="s">
        <v>14</v>
      </c>
      <c r="AW15" s="148"/>
      <c r="AX15" s="147" t="s">
        <v>15</v>
      </c>
      <c r="AY15" s="148"/>
      <c r="AZ15" s="147" t="s">
        <v>16</v>
      </c>
      <c r="BA15" s="148"/>
      <c r="BB15" s="147" t="s">
        <v>17</v>
      </c>
      <c r="BC15" s="148"/>
      <c r="BD15" s="147" t="s">
        <v>238</v>
      </c>
      <c r="BE15" s="148"/>
      <c r="BF15" s="147" t="s">
        <v>239</v>
      </c>
      <c r="BG15" s="148"/>
      <c r="BH15" s="147" t="s">
        <v>18</v>
      </c>
      <c r="BI15" s="148"/>
      <c r="BJ15" s="147" t="s">
        <v>19</v>
      </c>
      <c r="BK15" s="148"/>
      <c r="BL15" s="149" t="s">
        <v>20</v>
      </c>
      <c r="BM15" s="150"/>
    </row>
    <row r="16" spans="1:65" ht="30" x14ac:dyDescent="0.25">
      <c r="A16" s="3"/>
      <c r="B16" s="53" t="s">
        <v>243</v>
      </c>
      <c r="C16" s="54" t="s">
        <v>244</v>
      </c>
      <c r="D16" s="53" t="s">
        <v>243</v>
      </c>
      <c r="E16" s="54" t="s">
        <v>244</v>
      </c>
      <c r="F16" s="53" t="s">
        <v>243</v>
      </c>
      <c r="G16" s="54" t="s">
        <v>244</v>
      </c>
      <c r="H16" s="53" t="s">
        <v>243</v>
      </c>
      <c r="I16" s="54" t="s">
        <v>244</v>
      </c>
      <c r="J16" s="53" t="s">
        <v>243</v>
      </c>
      <c r="K16" s="54" t="s">
        <v>244</v>
      </c>
      <c r="L16" s="53" t="s">
        <v>243</v>
      </c>
      <c r="M16" s="54" t="s">
        <v>244</v>
      </c>
      <c r="N16" s="53" t="s">
        <v>243</v>
      </c>
      <c r="O16" s="54" t="s">
        <v>244</v>
      </c>
      <c r="P16" s="53" t="s">
        <v>243</v>
      </c>
      <c r="Q16" s="54" t="s">
        <v>244</v>
      </c>
      <c r="R16" s="53" t="s">
        <v>243</v>
      </c>
      <c r="S16" s="54" t="s">
        <v>244</v>
      </c>
      <c r="T16" s="53" t="s">
        <v>243</v>
      </c>
      <c r="U16" s="54" t="s">
        <v>244</v>
      </c>
      <c r="V16" s="53" t="s">
        <v>243</v>
      </c>
      <c r="W16" s="54" t="s">
        <v>244</v>
      </c>
      <c r="X16" s="53" t="s">
        <v>243</v>
      </c>
      <c r="Y16" s="54" t="s">
        <v>244</v>
      </c>
      <c r="Z16" s="53" t="s">
        <v>243</v>
      </c>
      <c r="AA16" s="54" t="s">
        <v>244</v>
      </c>
      <c r="AB16" s="53" t="s">
        <v>243</v>
      </c>
      <c r="AC16" s="54" t="s">
        <v>244</v>
      </c>
      <c r="AD16" s="53" t="s">
        <v>243</v>
      </c>
      <c r="AE16" s="54" t="s">
        <v>244</v>
      </c>
      <c r="AF16" s="53" t="s">
        <v>243</v>
      </c>
      <c r="AG16" s="54" t="s">
        <v>244</v>
      </c>
      <c r="AH16" s="53" t="s">
        <v>243</v>
      </c>
      <c r="AI16" s="54" t="s">
        <v>244</v>
      </c>
      <c r="AJ16" s="53" t="s">
        <v>243</v>
      </c>
      <c r="AK16" s="54" t="s">
        <v>244</v>
      </c>
      <c r="AL16" s="53" t="s">
        <v>243</v>
      </c>
      <c r="AM16" s="54" t="s">
        <v>244</v>
      </c>
      <c r="AN16" s="53" t="s">
        <v>243</v>
      </c>
      <c r="AO16" s="54" t="s">
        <v>244</v>
      </c>
      <c r="AP16" s="53" t="s">
        <v>243</v>
      </c>
      <c r="AQ16" s="54" t="s">
        <v>244</v>
      </c>
      <c r="AR16" s="53" t="s">
        <v>243</v>
      </c>
      <c r="AS16" s="54" t="s">
        <v>244</v>
      </c>
      <c r="AT16" s="53" t="s">
        <v>243</v>
      </c>
      <c r="AU16" s="54" t="s">
        <v>244</v>
      </c>
      <c r="AV16" s="53" t="s">
        <v>243</v>
      </c>
      <c r="AW16" s="54" t="s">
        <v>244</v>
      </c>
      <c r="AX16" s="53" t="s">
        <v>243</v>
      </c>
      <c r="AY16" s="54" t="s">
        <v>244</v>
      </c>
      <c r="AZ16" s="53" t="s">
        <v>243</v>
      </c>
      <c r="BA16" s="54" t="s">
        <v>244</v>
      </c>
      <c r="BB16" s="53" t="s">
        <v>243</v>
      </c>
      <c r="BC16" s="54" t="s">
        <v>244</v>
      </c>
      <c r="BD16" s="53" t="s">
        <v>243</v>
      </c>
      <c r="BE16" s="54" t="s">
        <v>244</v>
      </c>
      <c r="BF16" s="53" t="s">
        <v>243</v>
      </c>
      <c r="BG16" s="54" t="s">
        <v>244</v>
      </c>
      <c r="BH16" s="53" t="s">
        <v>243</v>
      </c>
      <c r="BI16" s="54" t="s">
        <v>244</v>
      </c>
      <c r="BJ16" s="53" t="s">
        <v>243</v>
      </c>
      <c r="BK16" s="54" t="s">
        <v>244</v>
      </c>
      <c r="BL16" s="105" t="s">
        <v>243</v>
      </c>
      <c r="BM16" s="106" t="s">
        <v>244</v>
      </c>
    </row>
    <row r="17" spans="1:65" x14ac:dyDescent="0.25">
      <c r="A17" s="24" t="s">
        <v>304</v>
      </c>
      <c r="B17" s="9"/>
      <c r="C17" s="9"/>
      <c r="D17" s="9"/>
      <c r="E17" s="9"/>
      <c r="F17" s="9"/>
      <c r="G17" s="9"/>
      <c r="H17" s="76"/>
      <c r="I17" s="76"/>
      <c r="J17" s="76"/>
      <c r="K17" s="76"/>
      <c r="L17" s="92">
        <v>219</v>
      </c>
      <c r="M17" s="92">
        <v>442</v>
      </c>
      <c r="N17" s="76"/>
      <c r="O17" s="76"/>
      <c r="P17" s="92">
        <v>5.74</v>
      </c>
      <c r="Q17" s="92">
        <v>13.21</v>
      </c>
      <c r="R17" s="92">
        <v>255.14</v>
      </c>
      <c r="S17" s="92">
        <v>593.1</v>
      </c>
      <c r="T17" s="92">
        <v>1</v>
      </c>
      <c r="U17" s="92">
        <v>16</v>
      </c>
      <c r="V17" s="92">
        <v>362</v>
      </c>
      <c r="W17" s="92">
        <v>895</v>
      </c>
      <c r="X17" s="92">
        <v>1219</v>
      </c>
      <c r="Y17" s="92">
        <v>2904</v>
      </c>
      <c r="Z17" s="92">
        <v>508</v>
      </c>
      <c r="AA17" s="92">
        <v>1023</v>
      </c>
      <c r="AB17" s="92">
        <v>7.68</v>
      </c>
      <c r="AC17" s="92">
        <v>9.23</v>
      </c>
      <c r="AD17" s="76"/>
      <c r="AE17" s="76"/>
      <c r="AF17" s="69">
        <v>33.270000000000003</v>
      </c>
      <c r="AG17" s="92">
        <v>70.17</v>
      </c>
      <c r="AH17" s="9"/>
      <c r="AI17" s="9"/>
      <c r="AJ17" s="9"/>
      <c r="AK17" s="9"/>
      <c r="AL17" s="9"/>
      <c r="AM17" s="9"/>
      <c r="AN17" s="92"/>
      <c r="AO17" s="76"/>
      <c r="AP17" s="9"/>
      <c r="AQ17" s="9"/>
      <c r="AR17" s="9">
        <v>207</v>
      </c>
      <c r="AS17" s="9">
        <v>532</v>
      </c>
      <c r="AT17" s="76"/>
      <c r="AU17" s="76"/>
      <c r="AV17" s="92">
        <v>184</v>
      </c>
      <c r="AW17" s="92">
        <v>410</v>
      </c>
      <c r="AX17" s="92">
        <v>3</v>
      </c>
      <c r="AY17" s="92">
        <v>7</v>
      </c>
      <c r="AZ17" s="9"/>
      <c r="BA17" s="9"/>
      <c r="BB17" s="92">
        <v>1421</v>
      </c>
      <c r="BC17" s="92">
        <v>3086</v>
      </c>
      <c r="BD17" s="76"/>
      <c r="BE17" s="76"/>
      <c r="BF17" s="92">
        <v>894</v>
      </c>
      <c r="BG17" s="92">
        <v>1799</v>
      </c>
      <c r="BH17" s="9"/>
      <c r="BI17" s="9"/>
      <c r="BJ17" s="92">
        <v>31</v>
      </c>
      <c r="BK17" s="92">
        <v>66</v>
      </c>
      <c r="BL17" s="68">
        <f t="shared" ref="BL17:BL23" si="2">SUM(B17+D17+F17+H17+J17+L17+N17+P17+R17+T17+V17+X17+Z17+AB17+AD17+AF17+AH17+AJ17+AL17+AN28+AP17+AR17+AT17+AV17+AX17+AZ17+BB17+BD17+BF17+BH17+BJ17)</f>
        <v>5363.83</v>
      </c>
      <c r="BM17" s="68">
        <f t="shared" ref="BM17:BM23" si="3">SUM(C17+E17+G17+I17+K17+M17+O17+Q17+S17+U17+W17+Y17+AA17+AC17+AE17+AG17+AI17+AK17+AM17+AO17+AQ17+AS17+AU17+AW17+AY17+BA17+BC17+BE17+BG17+BI17+BK17)</f>
        <v>11865.71</v>
      </c>
    </row>
    <row r="18" spans="1:65" s="71" customFormat="1" x14ac:dyDescent="0.25">
      <c r="A18" s="24" t="s">
        <v>305</v>
      </c>
      <c r="B18" s="92"/>
      <c r="C18" s="92"/>
      <c r="D18" s="92"/>
      <c r="E18" s="92"/>
      <c r="F18" s="92"/>
      <c r="G18" s="92"/>
      <c r="H18" s="92">
        <v>-2</v>
      </c>
      <c r="I18" s="92">
        <v>-4</v>
      </c>
      <c r="J18" s="92"/>
      <c r="K18" s="92"/>
      <c r="L18" s="92">
        <v>16</v>
      </c>
      <c r="M18" s="92">
        <v>42</v>
      </c>
      <c r="N18" s="92"/>
      <c r="O18" s="92"/>
      <c r="P18" s="92">
        <v>0.12</v>
      </c>
      <c r="Q18" s="92">
        <v>0.34</v>
      </c>
      <c r="R18" s="92"/>
      <c r="S18" s="92"/>
      <c r="T18" s="92">
        <v>1</v>
      </c>
      <c r="U18" s="92">
        <v>1</v>
      </c>
      <c r="V18" s="92">
        <v>30</v>
      </c>
      <c r="W18" s="92">
        <v>79</v>
      </c>
      <c r="X18" s="92">
        <v>134</v>
      </c>
      <c r="Y18" s="92">
        <v>361</v>
      </c>
      <c r="Z18" s="92">
        <v>151</v>
      </c>
      <c r="AA18" s="92">
        <v>386</v>
      </c>
      <c r="AB18" s="92">
        <v>1.89</v>
      </c>
      <c r="AC18" s="92">
        <v>2.35</v>
      </c>
      <c r="AD18" s="92"/>
      <c r="AE18" s="92"/>
      <c r="AF18" s="69">
        <v>0.21</v>
      </c>
      <c r="AG18" s="92">
        <v>0.21</v>
      </c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>
        <v>53</v>
      </c>
      <c r="AS18" s="92">
        <v>123</v>
      </c>
      <c r="AT18" s="92"/>
      <c r="AU18" s="92"/>
      <c r="AV18" s="92">
        <v>59</v>
      </c>
      <c r="AW18" s="92">
        <v>140</v>
      </c>
      <c r="AX18" s="92">
        <v>0</v>
      </c>
      <c r="AY18" s="92">
        <v>1</v>
      </c>
      <c r="AZ18" s="92"/>
      <c r="BA18" s="92"/>
      <c r="BB18" s="92">
        <v>295</v>
      </c>
      <c r="BC18" s="92">
        <v>529</v>
      </c>
      <c r="BD18" s="92"/>
      <c r="BE18" s="92"/>
      <c r="BF18" s="92">
        <v>0</v>
      </c>
      <c r="BG18" s="92">
        <v>0</v>
      </c>
      <c r="BH18" s="92"/>
      <c r="BI18" s="92"/>
      <c r="BJ18" s="92">
        <v>8</v>
      </c>
      <c r="BK18" s="92">
        <v>22</v>
      </c>
      <c r="BL18" s="68">
        <f t="shared" si="2"/>
        <v>752.22</v>
      </c>
      <c r="BM18" s="68">
        <f t="shared" si="3"/>
        <v>1682.9</v>
      </c>
    </row>
    <row r="19" spans="1:65" s="71" customFormat="1" x14ac:dyDescent="0.25">
      <c r="A19" s="24" t="s">
        <v>306</v>
      </c>
      <c r="B19" s="92"/>
      <c r="C19" s="92"/>
      <c r="D19" s="92"/>
      <c r="E19" s="92"/>
      <c r="F19" s="92"/>
      <c r="G19" s="92"/>
      <c r="H19" s="92">
        <v>346</v>
      </c>
      <c r="I19" s="92">
        <v>904</v>
      </c>
      <c r="J19" s="92"/>
      <c r="K19" s="92"/>
      <c r="L19" s="92"/>
      <c r="M19" s="92"/>
      <c r="N19" s="92"/>
      <c r="O19" s="92"/>
      <c r="P19" s="92"/>
      <c r="Q19" s="92"/>
      <c r="R19" s="92">
        <v>-4.45</v>
      </c>
      <c r="S19" s="92">
        <v>36.1</v>
      </c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69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>
        <v>0</v>
      </c>
      <c r="BG19" s="92">
        <v>0</v>
      </c>
      <c r="BH19" s="92"/>
      <c r="BI19" s="92"/>
      <c r="BJ19" s="92"/>
      <c r="BK19" s="92"/>
      <c r="BL19" s="68">
        <f t="shared" si="2"/>
        <v>341.55</v>
      </c>
      <c r="BM19" s="68">
        <f t="shared" si="3"/>
        <v>940.1</v>
      </c>
    </row>
    <row r="20" spans="1:65" s="7" customFormat="1" x14ac:dyDescent="0.25">
      <c r="A20" s="10" t="s">
        <v>307</v>
      </c>
      <c r="B20" s="10"/>
      <c r="C20" s="10"/>
      <c r="D20" s="10"/>
      <c r="E20" s="10"/>
      <c r="F20" s="10"/>
      <c r="G20" s="10"/>
      <c r="H20" s="10">
        <v>344</v>
      </c>
      <c r="I20" s="10">
        <v>900</v>
      </c>
      <c r="J20" s="10"/>
      <c r="K20" s="10"/>
      <c r="L20" s="10">
        <v>235</v>
      </c>
      <c r="M20" s="10">
        <v>485</v>
      </c>
      <c r="N20" s="10"/>
      <c r="O20" s="10"/>
      <c r="P20" s="10">
        <v>5.86</v>
      </c>
      <c r="Q20" s="10">
        <v>13.55</v>
      </c>
      <c r="R20" s="10">
        <v>250.68</v>
      </c>
      <c r="S20" s="10">
        <v>629.20000000000005</v>
      </c>
      <c r="T20" s="10">
        <v>1</v>
      </c>
      <c r="U20" s="10">
        <v>17</v>
      </c>
      <c r="V20" s="10">
        <v>393</v>
      </c>
      <c r="W20" s="10">
        <v>974</v>
      </c>
      <c r="X20" s="10">
        <v>1353</v>
      </c>
      <c r="Y20" s="10">
        <v>3265</v>
      </c>
      <c r="Z20" s="10">
        <v>659</v>
      </c>
      <c r="AA20" s="10">
        <v>1408</v>
      </c>
      <c r="AB20" s="10">
        <v>9.57</v>
      </c>
      <c r="AC20" s="10">
        <v>11.58</v>
      </c>
      <c r="AD20" s="10">
        <v>153.55000000000001</v>
      </c>
      <c r="AE20" s="10">
        <v>323.66000000000003</v>
      </c>
      <c r="AF20" s="10">
        <v>33.47</v>
      </c>
      <c r="AG20" s="10">
        <v>70.39</v>
      </c>
      <c r="AH20" s="10"/>
      <c r="AI20" s="10"/>
      <c r="AJ20" s="10"/>
      <c r="AK20" s="10"/>
      <c r="AL20" s="10">
        <v>492.37</v>
      </c>
      <c r="AM20" s="10">
        <v>902.68</v>
      </c>
      <c r="AN20" s="10"/>
      <c r="AO20" s="10"/>
      <c r="AP20" s="10"/>
      <c r="AQ20" s="10"/>
      <c r="AR20" s="10">
        <v>260</v>
      </c>
      <c r="AS20" s="10">
        <v>655</v>
      </c>
      <c r="AT20" s="10">
        <v>147.07</v>
      </c>
      <c r="AU20" s="10">
        <v>348.68</v>
      </c>
      <c r="AV20" s="10">
        <v>243</v>
      </c>
      <c r="AW20" s="10">
        <v>550</v>
      </c>
      <c r="AX20" s="10">
        <v>3</v>
      </c>
      <c r="AY20" s="10">
        <v>8</v>
      </c>
      <c r="AZ20" s="10"/>
      <c r="BA20" s="10"/>
      <c r="BB20" s="10">
        <v>1716</v>
      </c>
      <c r="BC20" s="10">
        <v>3615</v>
      </c>
      <c r="BD20" s="10">
        <v>1991.99</v>
      </c>
      <c r="BE20" s="10">
        <v>4165.6400000000003</v>
      </c>
      <c r="BF20" s="10">
        <v>894</v>
      </c>
      <c r="BG20" s="10">
        <v>1799</v>
      </c>
      <c r="BH20" s="10">
        <v>679</v>
      </c>
      <c r="BI20" s="10">
        <v>1398</v>
      </c>
      <c r="BJ20" s="10">
        <v>40</v>
      </c>
      <c r="BK20" s="10">
        <v>88</v>
      </c>
      <c r="BL20" s="63">
        <f t="shared" si="2"/>
        <v>9922.56</v>
      </c>
      <c r="BM20" s="63">
        <f t="shared" si="3"/>
        <v>21627.38</v>
      </c>
    </row>
    <row r="21" spans="1:65" x14ac:dyDescent="0.25">
      <c r="A21" s="24" t="s">
        <v>308</v>
      </c>
      <c r="B21" s="9"/>
      <c r="C21" s="9"/>
      <c r="D21" s="9"/>
      <c r="E21" s="9"/>
      <c r="F21" s="9"/>
      <c r="G21" s="9"/>
      <c r="H21" s="92"/>
      <c r="I21" s="92"/>
      <c r="J21" s="76"/>
      <c r="K21" s="76"/>
      <c r="L21" s="92"/>
      <c r="M21" s="92"/>
      <c r="N21" s="76"/>
      <c r="O21" s="76"/>
      <c r="P21" s="92"/>
      <c r="Q21" s="92"/>
      <c r="R21" s="92">
        <v>3.82</v>
      </c>
      <c r="S21" s="92">
        <v>10.64</v>
      </c>
      <c r="T21" s="92">
        <v>8</v>
      </c>
      <c r="U21" s="92">
        <v>18</v>
      </c>
      <c r="V21" s="92">
        <v>54</v>
      </c>
      <c r="W21" s="92">
        <v>80</v>
      </c>
      <c r="X21" s="92">
        <v>69</v>
      </c>
      <c r="Y21" s="92">
        <v>143</v>
      </c>
      <c r="Z21" s="92">
        <v>5</v>
      </c>
      <c r="AA21" s="92">
        <v>9</v>
      </c>
      <c r="AB21" s="92"/>
      <c r="AC21" s="92"/>
      <c r="AD21" s="92"/>
      <c r="AE21" s="92">
        <v>2.4300000000000002</v>
      </c>
      <c r="AF21" s="69">
        <v>0.33</v>
      </c>
      <c r="AG21" s="92">
        <v>6.52</v>
      </c>
      <c r="AH21" s="9"/>
      <c r="AI21" s="9"/>
      <c r="AJ21" s="9"/>
      <c r="AK21" s="9"/>
      <c r="AL21" s="92">
        <v>74.98</v>
      </c>
      <c r="AM21" s="92">
        <v>78.430000000000007</v>
      </c>
      <c r="AN21" s="92"/>
      <c r="AO21" s="76"/>
      <c r="AP21" s="9"/>
      <c r="AQ21" s="9"/>
      <c r="AR21" s="9">
        <v>5</v>
      </c>
      <c r="AS21" s="9">
        <v>5</v>
      </c>
      <c r="AT21" s="92">
        <v>0.04</v>
      </c>
      <c r="AU21" s="92">
        <v>-0.11</v>
      </c>
      <c r="AV21" s="92">
        <v>23</v>
      </c>
      <c r="AW21" s="92">
        <v>35</v>
      </c>
      <c r="AX21" s="92"/>
      <c r="AY21" s="92"/>
      <c r="AZ21" s="9"/>
      <c r="BA21" s="9"/>
      <c r="BB21" s="92">
        <v>17</v>
      </c>
      <c r="BC21" s="92">
        <v>218</v>
      </c>
      <c r="BD21" s="92">
        <v>274.73</v>
      </c>
      <c r="BE21" s="92">
        <v>378.86</v>
      </c>
      <c r="BF21" s="92">
        <v>38</v>
      </c>
      <c r="BG21" s="92">
        <v>74</v>
      </c>
      <c r="BH21" s="92">
        <v>21</v>
      </c>
      <c r="BI21" s="92">
        <v>25</v>
      </c>
      <c r="BJ21" s="92"/>
      <c r="BK21" s="92"/>
      <c r="BL21" s="68">
        <f t="shared" si="2"/>
        <v>593.9</v>
      </c>
      <c r="BM21" s="68">
        <f t="shared" si="3"/>
        <v>1083.77</v>
      </c>
    </row>
    <row r="22" spans="1:65" x14ac:dyDescent="0.25">
      <c r="A22" s="24" t="s">
        <v>309</v>
      </c>
      <c r="B22" s="9"/>
      <c r="C22" s="9"/>
      <c r="D22" s="9"/>
      <c r="E22" s="9"/>
      <c r="F22" s="9"/>
      <c r="G22" s="9"/>
      <c r="H22" s="92">
        <v>-160</v>
      </c>
      <c r="I22" s="92">
        <v>-323</v>
      </c>
      <c r="J22" s="76"/>
      <c r="K22" s="76"/>
      <c r="L22" s="92">
        <v>307</v>
      </c>
      <c r="M22" s="92">
        <v>585</v>
      </c>
      <c r="N22" s="76"/>
      <c r="O22" s="76"/>
      <c r="P22" s="92">
        <v>4.8</v>
      </c>
      <c r="Q22" s="92">
        <v>11.11</v>
      </c>
      <c r="R22" s="92">
        <v>48.05</v>
      </c>
      <c r="S22" s="92">
        <v>76.72</v>
      </c>
      <c r="T22" s="92">
        <v>-38</v>
      </c>
      <c r="U22" s="92">
        <v>-240</v>
      </c>
      <c r="V22" s="92">
        <v>-69</v>
      </c>
      <c r="W22" s="92">
        <v>-166</v>
      </c>
      <c r="X22" s="92">
        <v>224</v>
      </c>
      <c r="Y22" s="92">
        <v>539</v>
      </c>
      <c r="Z22" s="92">
        <v>466</v>
      </c>
      <c r="AA22" s="92">
        <v>912</v>
      </c>
      <c r="AB22" s="92">
        <v>7.5</v>
      </c>
      <c r="AC22" s="92">
        <v>8.7100000000000009</v>
      </c>
      <c r="AD22" s="92">
        <v>6.37</v>
      </c>
      <c r="AE22" s="92">
        <v>14.07</v>
      </c>
      <c r="AF22" s="69">
        <v>-49.42</v>
      </c>
      <c r="AG22" s="92">
        <v>-114.15</v>
      </c>
      <c r="AH22" s="9"/>
      <c r="AI22" s="9"/>
      <c r="AJ22" s="9"/>
      <c r="AK22" s="9"/>
      <c r="AL22" s="92">
        <v>295.5</v>
      </c>
      <c r="AM22" s="92">
        <v>717.74</v>
      </c>
      <c r="AN22" s="92"/>
      <c r="AO22" s="76"/>
      <c r="AP22" s="9"/>
      <c r="AQ22" s="9"/>
      <c r="AR22" s="9">
        <v>306</v>
      </c>
      <c r="AS22" s="9">
        <v>622</v>
      </c>
      <c r="AT22" s="92">
        <v>-53.28</v>
      </c>
      <c r="AU22" s="92">
        <v>-210.39</v>
      </c>
      <c r="AV22" s="92">
        <v>29</v>
      </c>
      <c r="AW22" s="92">
        <v>54</v>
      </c>
      <c r="AX22" s="92">
        <v>3</v>
      </c>
      <c r="AY22" s="92">
        <v>6</v>
      </c>
      <c r="AZ22" s="9"/>
      <c r="BA22" s="9"/>
      <c r="BB22" s="92">
        <v>289</v>
      </c>
      <c r="BC22" s="92">
        <v>566</v>
      </c>
      <c r="BD22" s="92">
        <v>439.16</v>
      </c>
      <c r="BE22" s="92">
        <v>954.61</v>
      </c>
      <c r="BF22" s="92">
        <v>235</v>
      </c>
      <c r="BG22" s="92">
        <v>663</v>
      </c>
      <c r="BH22" s="92">
        <v>91</v>
      </c>
      <c r="BI22" s="92">
        <v>284</v>
      </c>
      <c r="BJ22" s="92">
        <v>76</v>
      </c>
      <c r="BK22" s="92">
        <v>173</v>
      </c>
      <c r="BL22" s="68">
        <f t="shared" si="2"/>
        <v>2453.6800000000003</v>
      </c>
      <c r="BM22" s="68">
        <f t="shared" si="3"/>
        <v>5133.42</v>
      </c>
    </row>
    <row r="23" spans="1:65" s="7" customFormat="1" x14ac:dyDescent="0.25">
      <c r="A23" s="10" t="s">
        <v>190</v>
      </c>
      <c r="B23" s="10"/>
      <c r="C23" s="10"/>
      <c r="D23" s="10"/>
      <c r="E23" s="10"/>
      <c r="F23" s="10"/>
      <c r="G23" s="10"/>
      <c r="H23" s="10">
        <v>184</v>
      </c>
      <c r="I23" s="10">
        <v>577</v>
      </c>
      <c r="J23" s="10"/>
      <c r="K23" s="10"/>
      <c r="L23" s="10">
        <v>-72</v>
      </c>
      <c r="M23" s="10">
        <v>-100</v>
      </c>
      <c r="N23" s="10"/>
      <c r="O23" s="10"/>
      <c r="P23" s="10">
        <v>1.06</v>
      </c>
      <c r="Q23" s="10">
        <v>2.44</v>
      </c>
      <c r="R23" s="10">
        <v>206.45</v>
      </c>
      <c r="S23" s="10">
        <v>563.12</v>
      </c>
      <c r="T23" s="10">
        <v>-28</v>
      </c>
      <c r="U23" s="10">
        <v>-206</v>
      </c>
      <c r="V23" s="10">
        <v>378</v>
      </c>
      <c r="W23" s="10">
        <v>887</v>
      </c>
      <c r="X23" s="10">
        <v>1198</v>
      </c>
      <c r="Y23" s="10">
        <v>2869</v>
      </c>
      <c r="Z23" s="10">
        <v>198</v>
      </c>
      <c r="AA23" s="10">
        <v>505</v>
      </c>
      <c r="AB23" s="10">
        <v>2.0699999999999998</v>
      </c>
      <c r="AC23" s="10">
        <v>2.87</v>
      </c>
      <c r="AD23" s="10">
        <v>147.18</v>
      </c>
      <c r="AE23" s="10">
        <v>312.01</v>
      </c>
      <c r="AF23" s="10">
        <v>-15.62</v>
      </c>
      <c r="AG23" s="10">
        <v>-37.24</v>
      </c>
      <c r="AH23" s="10"/>
      <c r="AI23" s="10"/>
      <c r="AJ23" s="10"/>
      <c r="AK23" s="10"/>
      <c r="AL23" s="10">
        <v>271.85000000000002</v>
      </c>
      <c r="AM23" s="10">
        <v>263.37</v>
      </c>
      <c r="AN23" s="10"/>
      <c r="AO23" s="10"/>
      <c r="AP23" s="10"/>
      <c r="AQ23" s="10"/>
      <c r="AR23" s="10">
        <v>-41</v>
      </c>
      <c r="AS23" s="10">
        <v>38</v>
      </c>
      <c r="AT23" s="10">
        <v>93.83</v>
      </c>
      <c r="AU23" s="10">
        <v>138.18</v>
      </c>
      <c r="AV23" s="10">
        <v>237</v>
      </c>
      <c r="AW23" s="10">
        <v>531</v>
      </c>
      <c r="AX23" s="10">
        <v>0</v>
      </c>
      <c r="AY23" s="10">
        <v>2</v>
      </c>
      <c r="AZ23" s="10"/>
      <c r="BA23" s="10"/>
      <c r="BB23" s="10">
        <v>1444</v>
      </c>
      <c r="BC23" s="10">
        <v>3267</v>
      </c>
      <c r="BD23" s="10">
        <v>1827.55</v>
      </c>
      <c r="BE23" s="10">
        <v>3589.89</v>
      </c>
      <c r="BF23" s="10">
        <v>697</v>
      </c>
      <c r="BG23" s="10">
        <v>1210</v>
      </c>
      <c r="BH23" s="10">
        <v>609</v>
      </c>
      <c r="BI23" s="10">
        <v>1140</v>
      </c>
      <c r="BJ23" s="10">
        <v>-36</v>
      </c>
      <c r="BK23" s="10">
        <v>-85</v>
      </c>
      <c r="BL23" s="63">
        <f t="shared" si="2"/>
        <v>7315.37</v>
      </c>
      <c r="BM23" s="63">
        <f t="shared" si="3"/>
        <v>15469.64</v>
      </c>
    </row>
    <row r="24" spans="1:65" x14ac:dyDescent="0.25">
      <c r="A24" s="22"/>
    </row>
    <row r="25" spans="1:65" x14ac:dyDescent="0.25">
      <c r="A25" s="23" t="s">
        <v>184</v>
      </c>
    </row>
    <row r="26" spans="1:65" x14ac:dyDescent="0.25">
      <c r="A26" s="3" t="s">
        <v>0</v>
      </c>
      <c r="B26" s="147" t="s">
        <v>1</v>
      </c>
      <c r="C26" s="148"/>
      <c r="D26" s="147" t="s">
        <v>233</v>
      </c>
      <c r="E26" s="148"/>
      <c r="F26" s="147" t="s">
        <v>2</v>
      </c>
      <c r="G26" s="148"/>
      <c r="H26" s="147" t="s">
        <v>3</v>
      </c>
      <c r="I26" s="148"/>
      <c r="J26" s="147" t="s">
        <v>242</v>
      </c>
      <c r="K26" s="148"/>
      <c r="L26" s="147" t="s">
        <v>234</v>
      </c>
      <c r="M26" s="148"/>
      <c r="N26" s="147" t="s">
        <v>5</v>
      </c>
      <c r="O26" s="148"/>
      <c r="P26" s="147" t="s">
        <v>4</v>
      </c>
      <c r="Q26" s="148"/>
      <c r="R26" s="147" t="s">
        <v>6</v>
      </c>
      <c r="S26" s="148"/>
      <c r="T26" s="147" t="s">
        <v>254</v>
      </c>
      <c r="U26" s="148"/>
      <c r="V26" s="147" t="s">
        <v>7</v>
      </c>
      <c r="W26" s="148"/>
      <c r="X26" s="147" t="s">
        <v>8</v>
      </c>
      <c r="Y26" s="148"/>
      <c r="Z26" s="147" t="s">
        <v>9</v>
      </c>
      <c r="AA26" s="148"/>
      <c r="AB26" s="147" t="s">
        <v>241</v>
      </c>
      <c r="AC26" s="148"/>
      <c r="AD26" s="147" t="s">
        <v>10</v>
      </c>
      <c r="AE26" s="148"/>
      <c r="AF26" s="147" t="s">
        <v>11</v>
      </c>
      <c r="AG26" s="148"/>
      <c r="AH26" s="147" t="s">
        <v>235</v>
      </c>
      <c r="AI26" s="148"/>
      <c r="AJ26" s="147" t="s">
        <v>253</v>
      </c>
      <c r="AK26" s="148"/>
      <c r="AL26" s="147" t="s">
        <v>12</v>
      </c>
      <c r="AM26" s="148"/>
      <c r="AN26" s="147" t="s">
        <v>236</v>
      </c>
      <c r="AO26" s="148"/>
      <c r="AP26" s="147" t="s">
        <v>237</v>
      </c>
      <c r="AQ26" s="148"/>
      <c r="AR26" s="147" t="s">
        <v>240</v>
      </c>
      <c r="AS26" s="148"/>
      <c r="AT26" s="147" t="s">
        <v>13</v>
      </c>
      <c r="AU26" s="148"/>
      <c r="AV26" s="147" t="s">
        <v>14</v>
      </c>
      <c r="AW26" s="148"/>
      <c r="AX26" s="147" t="s">
        <v>15</v>
      </c>
      <c r="AY26" s="148"/>
      <c r="AZ26" s="147" t="s">
        <v>16</v>
      </c>
      <c r="BA26" s="148"/>
      <c r="BB26" s="147" t="s">
        <v>17</v>
      </c>
      <c r="BC26" s="148"/>
      <c r="BD26" s="147" t="s">
        <v>238</v>
      </c>
      <c r="BE26" s="148"/>
      <c r="BF26" s="147" t="s">
        <v>239</v>
      </c>
      <c r="BG26" s="148"/>
      <c r="BH26" s="147" t="s">
        <v>18</v>
      </c>
      <c r="BI26" s="148"/>
      <c r="BJ26" s="147" t="s">
        <v>19</v>
      </c>
      <c r="BK26" s="148"/>
      <c r="BL26" s="149" t="s">
        <v>20</v>
      </c>
      <c r="BM26" s="150"/>
    </row>
    <row r="27" spans="1:65" ht="30" x14ac:dyDescent="0.25">
      <c r="A27" s="3"/>
      <c r="B27" s="53" t="s">
        <v>243</v>
      </c>
      <c r="C27" s="54" t="s">
        <v>244</v>
      </c>
      <c r="D27" s="53" t="s">
        <v>243</v>
      </c>
      <c r="E27" s="54" t="s">
        <v>244</v>
      </c>
      <c r="F27" s="53" t="s">
        <v>243</v>
      </c>
      <c r="G27" s="54" t="s">
        <v>244</v>
      </c>
      <c r="H27" s="53" t="s">
        <v>243</v>
      </c>
      <c r="I27" s="54" t="s">
        <v>244</v>
      </c>
      <c r="J27" s="53" t="s">
        <v>243</v>
      </c>
      <c r="K27" s="54" t="s">
        <v>244</v>
      </c>
      <c r="L27" s="53" t="s">
        <v>243</v>
      </c>
      <c r="M27" s="54" t="s">
        <v>244</v>
      </c>
      <c r="N27" s="53" t="s">
        <v>243</v>
      </c>
      <c r="O27" s="54" t="s">
        <v>244</v>
      </c>
      <c r="P27" s="53" t="s">
        <v>243</v>
      </c>
      <c r="Q27" s="54" t="s">
        <v>244</v>
      </c>
      <c r="R27" s="53" t="s">
        <v>243</v>
      </c>
      <c r="S27" s="54" t="s">
        <v>244</v>
      </c>
      <c r="T27" s="53" t="s">
        <v>243</v>
      </c>
      <c r="U27" s="54" t="s">
        <v>244</v>
      </c>
      <c r="V27" s="53" t="s">
        <v>243</v>
      </c>
      <c r="W27" s="54" t="s">
        <v>244</v>
      </c>
      <c r="X27" s="53" t="s">
        <v>243</v>
      </c>
      <c r="Y27" s="54" t="s">
        <v>244</v>
      </c>
      <c r="Z27" s="53" t="s">
        <v>243</v>
      </c>
      <c r="AA27" s="54" t="s">
        <v>244</v>
      </c>
      <c r="AB27" s="53" t="s">
        <v>243</v>
      </c>
      <c r="AC27" s="54" t="s">
        <v>244</v>
      </c>
      <c r="AD27" s="53" t="s">
        <v>243</v>
      </c>
      <c r="AE27" s="54" t="s">
        <v>244</v>
      </c>
      <c r="AF27" s="53" t="s">
        <v>243</v>
      </c>
      <c r="AG27" s="54" t="s">
        <v>244</v>
      </c>
      <c r="AH27" s="53" t="s">
        <v>243</v>
      </c>
      <c r="AI27" s="54" t="s">
        <v>244</v>
      </c>
      <c r="AJ27" s="53" t="s">
        <v>243</v>
      </c>
      <c r="AK27" s="54" t="s">
        <v>244</v>
      </c>
      <c r="AL27" s="53" t="s">
        <v>243</v>
      </c>
      <c r="AM27" s="54" t="s">
        <v>244</v>
      </c>
      <c r="AN27" s="53" t="s">
        <v>243</v>
      </c>
      <c r="AO27" s="54" t="s">
        <v>244</v>
      </c>
      <c r="AP27" s="53" t="s">
        <v>243</v>
      </c>
      <c r="AQ27" s="54" t="s">
        <v>244</v>
      </c>
      <c r="AR27" s="53" t="s">
        <v>243</v>
      </c>
      <c r="AS27" s="54" t="s">
        <v>244</v>
      </c>
      <c r="AT27" s="53" t="s">
        <v>243</v>
      </c>
      <c r="AU27" s="54" t="s">
        <v>244</v>
      </c>
      <c r="AV27" s="53" t="s">
        <v>243</v>
      </c>
      <c r="AW27" s="54" t="s">
        <v>244</v>
      </c>
      <c r="AX27" s="53" t="s">
        <v>243</v>
      </c>
      <c r="AY27" s="54" t="s">
        <v>244</v>
      </c>
      <c r="AZ27" s="53" t="s">
        <v>243</v>
      </c>
      <c r="BA27" s="54" t="s">
        <v>244</v>
      </c>
      <c r="BB27" s="53" t="s">
        <v>243</v>
      </c>
      <c r="BC27" s="54" t="s">
        <v>244</v>
      </c>
      <c r="BD27" s="53" t="s">
        <v>243</v>
      </c>
      <c r="BE27" s="54" t="s">
        <v>244</v>
      </c>
      <c r="BF27" s="53" t="s">
        <v>243</v>
      </c>
      <c r="BG27" s="54" t="s">
        <v>244</v>
      </c>
      <c r="BH27" s="53" t="s">
        <v>243</v>
      </c>
      <c r="BI27" s="54" t="s">
        <v>244</v>
      </c>
      <c r="BJ27" s="53" t="s">
        <v>243</v>
      </c>
      <c r="BK27" s="54" t="s">
        <v>244</v>
      </c>
      <c r="BL27" s="105" t="s">
        <v>243</v>
      </c>
      <c r="BM27" s="106" t="s">
        <v>244</v>
      </c>
    </row>
    <row r="28" spans="1:65" x14ac:dyDescent="0.25">
      <c r="A28" s="24" t="s">
        <v>304</v>
      </c>
      <c r="B28" s="92">
        <v>118</v>
      </c>
      <c r="C28" s="92">
        <v>204</v>
      </c>
      <c r="D28" s="9"/>
      <c r="E28" s="9"/>
      <c r="F28" s="9"/>
      <c r="G28" s="9"/>
      <c r="H28" s="76"/>
      <c r="I28" s="76"/>
      <c r="J28" s="76"/>
      <c r="K28" s="76"/>
      <c r="L28" s="92">
        <v>5751</v>
      </c>
      <c r="M28" s="92">
        <v>9320</v>
      </c>
      <c r="N28" s="76"/>
      <c r="O28" s="76"/>
      <c r="P28" s="92">
        <v>319.49</v>
      </c>
      <c r="Q28" s="92">
        <v>552.79</v>
      </c>
      <c r="R28" s="92">
        <v>3061.21</v>
      </c>
      <c r="S28" s="92">
        <v>5337.09</v>
      </c>
      <c r="T28" s="92">
        <v>2472</v>
      </c>
      <c r="U28" s="92">
        <v>4068</v>
      </c>
      <c r="V28" s="92">
        <v>5579</v>
      </c>
      <c r="W28" s="92">
        <v>9679</v>
      </c>
      <c r="X28" s="92">
        <v>13817</v>
      </c>
      <c r="Y28" s="92">
        <v>23915</v>
      </c>
      <c r="Z28" s="92">
        <v>2509</v>
      </c>
      <c r="AA28" s="92">
        <v>4543</v>
      </c>
      <c r="AB28" s="92">
        <v>590.35</v>
      </c>
      <c r="AC28" s="92">
        <v>974.98</v>
      </c>
      <c r="AD28" s="76"/>
      <c r="AE28" s="76"/>
      <c r="AF28" s="69">
        <v>1623.55</v>
      </c>
      <c r="AG28" s="92">
        <v>2697.8</v>
      </c>
      <c r="AH28" s="9"/>
      <c r="AI28" s="9"/>
      <c r="AJ28" s="9"/>
      <c r="AK28" s="9"/>
      <c r="AL28" s="76"/>
      <c r="AM28" s="76"/>
      <c r="AN28" s="92">
        <v>13</v>
      </c>
      <c r="AO28" s="92">
        <v>35</v>
      </c>
      <c r="AP28" s="92">
        <v>809</v>
      </c>
      <c r="AQ28" s="92">
        <v>1498</v>
      </c>
      <c r="AR28" s="9">
        <v>6784</v>
      </c>
      <c r="AS28" s="9">
        <v>11222</v>
      </c>
      <c r="AT28" s="76"/>
      <c r="AU28" s="76"/>
      <c r="AV28" s="92">
        <v>4326</v>
      </c>
      <c r="AW28" s="92">
        <v>7205</v>
      </c>
      <c r="AX28" s="92">
        <v>1906</v>
      </c>
      <c r="AY28" s="92">
        <v>3476</v>
      </c>
      <c r="AZ28" s="9"/>
      <c r="BA28" s="9"/>
      <c r="BB28" s="92">
        <v>6721</v>
      </c>
      <c r="BC28" s="92">
        <v>11417</v>
      </c>
      <c r="BD28" s="76"/>
      <c r="BE28" s="76"/>
      <c r="BF28" s="92">
        <v>7184</v>
      </c>
      <c r="BG28" s="92">
        <v>12113</v>
      </c>
      <c r="BH28" s="9"/>
      <c r="BI28" s="9"/>
      <c r="BJ28" s="92">
        <v>2613</v>
      </c>
      <c r="BK28" s="92">
        <v>4154</v>
      </c>
      <c r="BL28" s="68">
        <f t="shared" ref="BL28:BL31" si="4">SUM(B28+D28+F28+H28+J28+L28+N28+P28+R28+T28+V28+X28+Z28+AB28+AD28+AF28+AH28+AJ28+AL28+AN39+AP28+AR28+AT28+AV28+AX28+AZ28+BB28+BD28+BF28+BH28+BJ28)</f>
        <v>66183.600000000006</v>
      </c>
      <c r="BM28" s="68">
        <f t="shared" ref="BM28:BM34" si="5">SUM(C28+E28+G28+I28+K28+M28+O28+Q28+S28+U28+W28+Y28+AA28+AC28+AE28+AG28+AI28+AK28+AM28+AO28+AQ28+AS28+AU28+AW28+AY28+BA28+BC28+BE28+BG28+BI28+BK28)</f>
        <v>112411.66</v>
      </c>
    </row>
    <row r="29" spans="1:65" s="71" customFormat="1" x14ac:dyDescent="0.25">
      <c r="A29" s="24" t="s">
        <v>305</v>
      </c>
      <c r="B29" s="92">
        <v>3</v>
      </c>
      <c r="C29" s="92">
        <v>7</v>
      </c>
      <c r="D29" s="92"/>
      <c r="E29" s="92"/>
      <c r="F29" s="92"/>
      <c r="G29" s="92"/>
      <c r="H29" s="92">
        <v>1381</v>
      </c>
      <c r="I29" s="92">
        <v>2364</v>
      </c>
      <c r="J29" s="92"/>
      <c r="K29" s="92"/>
      <c r="L29" s="92">
        <v>911</v>
      </c>
      <c r="M29" s="92">
        <v>1614</v>
      </c>
      <c r="N29" s="92"/>
      <c r="O29" s="92"/>
      <c r="P29" s="92">
        <v>75.7</v>
      </c>
      <c r="Q29" s="92">
        <v>152.4</v>
      </c>
      <c r="R29" s="92">
        <v>101.09</v>
      </c>
      <c r="S29" s="92">
        <v>161.21</v>
      </c>
      <c r="T29" s="92">
        <v>669</v>
      </c>
      <c r="U29" s="92">
        <v>1104</v>
      </c>
      <c r="V29" s="92">
        <v>1245</v>
      </c>
      <c r="W29" s="92">
        <v>2135</v>
      </c>
      <c r="X29" s="92">
        <v>3309</v>
      </c>
      <c r="Y29" s="92">
        <v>5749</v>
      </c>
      <c r="Z29" s="92">
        <v>570</v>
      </c>
      <c r="AA29" s="92">
        <v>767</v>
      </c>
      <c r="AB29" s="92">
        <v>109.9</v>
      </c>
      <c r="AC29" s="92">
        <v>205.33</v>
      </c>
      <c r="AD29" s="92"/>
      <c r="AE29" s="92"/>
      <c r="AF29" s="69">
        <v>431.85</v>
      </c>
      <c r="AG29" s="92">
        <v>711.93</v>
      </c>
      <c r="AH29" s="92"/>
      <c r="AI29" s="92"/>
      <c r="AJ29" s="92"/>
      <c r="AK29" s="92"/>
      <c r="AL29" s="92"/>
      <c r="AM29" s="92"/>
      <c r="AN29" s="92">
        <v>5</v>
      </c>
      <c r="AO29" s="92">
        <v>5</v>
      </c>
      <c r="AP29" s="92">
        <v>69</v>
      </c>
      <c r="AQ29" s="92">
        <v>151</v>
      </c>
      <c r="AR29" s="92">
        <v>1314</v>
      </c>
      <c r="AS29" s="92">
        <v>2179</v>
      </c>
      <c r="AT29" s="92"/>
      <c r="AU29" s="92"/>
      <c r="AV29" s="92">
        <v>1233</v>
      </c>
      <c r="AW29" s="92">
        <v>1982</v>
      </c>
      <c r="AX29" s="92">
        <v>245</v>
      </c>
      <c r="AY29" s="92">
        <v>409</v>
      </c>
      <c r="AZ29" s="92"/>
      <c r="BA29" s="92"/>
      <c r="BB29" s="92">
        <v>1669</v>
      </c>
      <c r="BC29" s="92">
        <v>2751</v>
      </c>
      <c r="BD29" s="92"/>
      <c r="BE29" s="92"/>
      <c r="BF29" s="92">
        <v>0</v>
      </c>
      <c r="BG29" s="92">
        <v>0</v>
      </c>
      <c r="BH29" s="92"/>
      <c r="BI29" s="92"/>
      <c r="BJ29" s="92">
        <v>834</v>
      </c>
      <c r="BK29" s="92">
        <v>1296</v>
      </c>
      <c r="BL29" s="68">
        <f t="shared" si="4"/>
        <v>14170.54</v>
      </c>
      <c r="BM29" s="68">
        <f t="shared" si="5"/>
        <v>23743.870000000003</v>
      </c>
    </row>
    <row r="30" spans="1:65" s="71" customFormat="1" x14ac:dyDescent="0.25">
      <c r="A30" s="24" t="s">
        <v>306</v>
      </c>
      <c r="B30" s="92"/>
      <c r="C30" s="92"/>
      <c r="D30" s="92"/>
      <c r="E30" s="92"/>
      <c r="F30" s="92"/>
      <c r="G30" s="92"/>
      <c r="H30" s="92">
        <v>7844</v>
      </c>
      <c r="I30" s="92">
        <v>13702</v>
      </c>
      <c r="J30" s="92"/>
      <c r="K30" s="92"/>
      <c r="L30" s="92">
        <v>50</v>
      </c>
      <c r="M30" s="92">
        <v>80</v>
      </c>
      <c r="N30" s="92"/>
      <c r="O30" s="92"/>
      <c r="P30" s="92"/>
      <c r="Q30" s="92"/>
      <c r="R30" s="92">
        <v>333.68</v>
      </c>
      <c r="S30" s="92">
        <v>600.05999999999995</v>
      </c>
      <c r="T30" s="92">
        <v>109</v>
      </c>
      <c r="U30" s="92">
        <v>163</v>
      </c>
      <c r="V30" s="92">
        <v>269</v>
      </c>
      <c r="W30" s="92">
        <v>445</v>
      </c>
      <c r="X30" s="92">
        <v>1260</v>
      </c>
      <c r="Y30" s="92">
        <v>2195</v>
      </c>
      <c r="Z30" s="92">
        <v>5868</v>
      </c>
      <c r="AA30" s="92">
        <v>9923</v>
      </c>
      <c r="AB30" s="92"/>
      <c r="AC30" s="92"/>
      <c r="AD30" s="92"/>
      <c r="AE30" s="92"/>
      <c r="AF30" s="69">
        <v>40.950000000000003</v>
      </c>
      <c r="AG30" s="92">
        <v>82.6</v>
      </c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>
        <v>199</v>
      </c>
      <c r="AS30" s="92">
        <v>347</v>
      </c>
      <c r="AT30" s="92"/>
      <c r="AU30" s="92"/>
      <c r="AV30" s="92">
        <v>3</v>
      </c>
      <c r="AW30" s="92">
        <v>6</v>
      </c>
      <c r="AX30" s="92">
        <v>11</v>
      </c>
      <c r="AY30" s="92">
        <v>23</v>
      </c>
      <c r="AZ30" s="92"/>
      <c r="BA30" s="92"/>
      <c r="BB30" s="92">
        <v>2228</v>
      </c>
      <c r="BC30" s="92">
        <v>4025</v>
      </c>
      <c r="BD30" s="92"/>
      <c r="BE30" s="92"/>
      <c r="BF30" s="92">
        <v>0</v>
      </c>
      <c r="BG30" s="92">
        <v>0</v>
      </c>
      <c r="BH30" s="92"/>
      <c r="BI30" s="92"/>
      <c r="BJ30" s="92"/>
      <c r="BK30" s="92"/>
      <c r="BL30" s="68">
        <f t="shared" si="4"/>
        <v>18215.63</v>
      </c>
      <c r="BM30" s="68">
        <f t="shared" si="5"/>
        <v>31591.659999999996</v>
      </c>
    </row>
    <row r="31" spans="1:65" s="7" customFormat="1" x14ac:dyDescent="0.25">
      <c r="A31" s="10" t="s">
        <v>307</v>
      </c>
      <c r="B31" s="10">
        <v>121</v>
      </c>
      <c r="C31" s="10">
        <v>211</v>
      </c>
      <c r="D31" s="10"/>
      <c r="E31" s="10"/>
      <c r="F31" s="10"/>
      <c r="G31" s="10"/>
      <c r="H31" s="10">
        <v>9225</v>
      </c>
      <c r="I31" s="10">
        <v>16067</v>
      </c>
      <c r="J31" s="10"/>
      <c r="K31" s="10"/>
      <c r="L31" s="10">
        <v>6712</v>
      </c>
      <c r="M31" s="10">
        <v>11015</v>
      </c>
      <c r="N31" s="10"/>
      <c r="O31" s="10"/>
      <c r="P31" s="10">
        <v>395.19</v>
      </c>
      <c r="Q31" s="10">
        <v>705.19</v>
      </c>
      <c r="R31" s="10">
        <v>3495.99</v>
      </c>
      <c r="S31" s="10">
        <v>6098.37</v>
      </c>
      <c r="T31" s="10">
        <v>3250</v>
      </c>
      <c r="U31" s="10">
        <v>5335</v>
      </c>
      <c r="V31" s="10">
        <v>7094</v>
      </c>
      <c r="W31" s="10">
        <v>12258</v>
      </c>
      <c r="X31" s="10">
        <v>18386</v>
      </c>
      <c r="Y31" s="10">
        <v>31859</v>
      </c>
      <c r="Z31" s="10">
        <v>8947</v>
      </c>
      <c r="AA31" s="10">
        <v>15232</v>
      </c>
      <c r="AB31" s="10">
        <v>700.25</v>
      </c>
      <c r="AC31" s="10">
        <v>1180.31</v>
      </c>
      <c r="AD31" s="10">
        <v>2515</v>
      </c>
      <c r="AE31" s="10">
        <v>4347</v>
      </c>
      <c r="AF31" s="10">
        <v>2096.35</v>
      </c>
      <c r="AG31" s="10">
        <v>3492.33</v>
      </c>
      <c r="AH31" s="10"/>
      <c r="AI31" s="10"/>
      <c r="AJ31" s="10"/>
      <c r="AK31" s="10"/>
      <c r="AL31" s="10">
        <v>9195.65</v>
      </c>
      <c r="AM31" s="10">
        <v>13864.06</v>
      </c>
      <c r="AN31" s="10">
        <v>18</v>
      </c>
      <c r="AO31" s="10">
        <v>39</v>
      </c>
      <c r="AP31" s="10">
        <v>878</v>
      </c>
      <c r="AQ31" s="10">
        <v>1649</v>
      </c>
      <c r="AR31" s="10">
        <v>8297</v>
      </c>
      <c r="AS31" s="10">
        <v>13748</v>
      </c>
      <c r="AT31" s="10">
        <v>4987.66</v>
      </c>
      <c r="AU31" s="10">
        <v>8667.06</v>
      </c>
      <c r="AV31" s="10">
        <v>5562</v>
      </c>
      <c r="AW31" s="10">
        <v>9193</v>
      </c>
      <c r="AX31" s="10">
        <v>2162</v>
      </c>
      <c r="AY31" s="10">
        <v>3908</v>
      </c>
      <c r="AZ31" s="10"/>
      <c r="BA31" s="10"/>
      <c r="BB31" s="10">
        <v>10618</v>
      </c>
      <c r="BC31" s="10">
        <v>18193</v>
      </c>
      <c r="BD31" s="10">
        <v>20146.509999999998</v>
      </c>
      <c r="BE31" s="10">
        <v>35648.33</v>
      </c>
      <c r="BF31" s="10">
        <v>7184</v>
      </c>
      <c r="BG31" s="10">
        <v>12113</v>
      </c>
      <c r="BH31" s="10">
        <v>8976</v>
      </c>
      <c r="BI31" s="10">
        <v>15625</v>
      </c>
      <c r="BJ31" s="10">
        <v>3447</v>
      </c>
      <c r="BK31" s="10">
        <v>5450</v>
      </c>
      <c r="BL31" s="63">
        <f t="shared" si="4"/>
        <v>144391.59999999998</v>
      </c>
      <c r="BM31" s="63">
        <f t="shared" si="5"/>
        <v>245897.65000000002</v>
      </c>
    </row>
    <row r="32" spans="1:65" x14ac:dyDescent="0.25">
      <c r="A32" s="24" t="s">
        <v>308</v>
      </c>
      <c r="B32" s="92"/>
      <c r="C32" s="92"/>
      <c r="D32" s="9"/>
      <c r="E32" s="9"/>
      <c r="F32" s="9"/>
      <c r="G32" s="9"/>
      <c r="H32" s="92"/>
      <c r="I32" s="92"/>
      <c r="J32" s="76"/>
      <c r="K32" s="76"/>
      <c r="L32" s="92"/>
      <c r="M32" s="92"/>
      <c r="N32" s="76"/>
      <c r="O32" s="76"/>
      <c r="P32" s="92"/>
      <c r="Q32" s="92"/>
      <c r="R32" s="92"/>
      <c r="S32" s="92"/>
      <c r="T32" s="92">
        <v>1011</v>
      </c>
      <c r="U32" s="92">
        <v>1011</v>
      </c>
      <c r="V32" s="92"/>
      <c r="W32" s="92"/>
      <c r="X32" s="92">
        <v>127</v>
      </c>
      <c r="Y32" s="92">
        <v>-64</v>
      </c>
      <c r="Z32" s="92"/>
      <c r="AA32" s="92"/>
      <c r="AB32" s="92"/>
      <c r="AC32" s="92"/>
      <c r="AD32" s="92"/>
      <c r="AE32" s="92"/>
      <c r="AF32" s="69"/>
      <c r="AG32" s="92"/>
      <c r="AH32" s="9"/>
      <c r="AI32" s="9"/>
      <c r="AJ32" s="9"/>
      <c r="AK32" s="9"/>
      <c r="AL32" s="92">
        <v>0.02</v>
      </c>
      <c r="AM32" s="92">
        <v>0.73</v>
      </c>
      <c r="AN32" s="92"/>
      <c r="AO32" s="92"/>
      <c r="AP32" s="92"/>
      <c r="AQ32" s="92"/>
      <c r="AR32" s="9"/>
      <c r="AS32" s="9"/>
      <c r="AT32" s="92"/>
      <c r="AU32" s="92"/>
      <c r="AV32" s="92"/>
      <c r="AW32" s="92"/>
      <c r="AX32" s="92"/>
      <c r="AY32" s="92"/>
      <c r="AZ32" s="9"/>
      <c r="BA32" s="9"/>
      <c r="BB32" s="92">
        <v>47</v>
      </c>
      <c r="BC32" s="92">
        <v>47</v>
      </c>
      <c r="BD32" s="92">
        <v>5.39</v>
      </c>
      <c r="BE32" s="92">
        <v>6</v>
      </c>
      <c r="BF32" s="92">
        <v>0</v>
      </c>
      <c r="BG32" s="92">
        <v>1</v>
      </c>
      <c r="BH32" s="92">
        <v>0</v>
      </c>
      <c r="BI32" s="92">
        <v>0</v>
      </c>
      <c r="BJ32" s="92"/>
      <c r="BK32" s="92"/>
      <c r="BL32" s="68">
        <f t="shared" ref="BL32:BL34" si="6">SUM(B32+D32+F32+H32+J32+L32+N32+P32+R32+T32+V32+X32+Z32+AB32+AD32+AF32+AH32+AJ32+AL32+AN43+AP32+AR32+AT32+AV32+AX32+AZ32+BB32+BD32+BF32+BH32+BJ32)</f>
        <v>1190.4100000000001</v>
      </c>
      <c r="BM32" s="68">
        <f t="shared" si="5"/>
        <v>1001.73</v>
      </c>
    </row>
    <row r="33" spans="1:65" x14ac:dyDescent="0.25">
      <c r="A33" s="24" t="s">
        <v>309</v>
      </c>
      <c r="B33" s="92">
        <v>1091</v>
      </c>
      <c r="C33" s="92">
        <v>1805</v>
      </c>
      <c r="D33" s="9"/>
      <c r="E33" s="9"/>
      <c r="F33" s="9"/>
      <c r="G33" s="9"/>
      <c r="H33" s="92">
        <v>-3052</v>
      </c>
      <c r="I33" s="92">
        <v>-5164</v>
      </c>
      <c r="J33" s="76"/>
      <c r="K33" s="76"/>
      <c r="L33" s="92">
        <v>4387</v>
      </c>
      <c r="M33" s="92">
        <v>8670</v>
      </c>
      <c r="N33" s="76"/>
      <c r="O33" s="76"/>
      <c r="P33" s="92">
        <v>25.12</v>
      </c>
      <c r="Q33" s="92">
        <v>42.55</v>
      </c>
      <c r="R33" s="92">
        <v>198.55</v>
      </c>
      <c r="S33" s="92">
        <v>344.48</v>
      </c>
      <c r="T33" s="92">
        <v>-362</v>
      </c>
      <c r="U33" s="92">
        <v>-766</v>
      </c>
      <c r="V33" s="92">
        <v>-5976</v>
      </c>
      <c r="W33" s="92">
        <v>-10038</v>
      </c>
      <c r="X33" s="92">
        <v>1668</v>
      </c>
      <c r="Y33" s="92">
        <v>2807</v>
      </c>
      <c r="Z33" s="92">
        <v>1552</v>
      </c>
      <c r="AA33" s="92">
        <v>2462</v>
      </c>
      <c r="AB33" s="92">
        <v>306.8</v>
      </c>
      <c r="AC33" s="92">
        <v>504.83</v>
      </c>
      <c r="AD33" s="92">
        <v>124</v>
      </c>
      <c r="AE33" s="92">
        <v>213</v>
      </c>
      <c r="AF33" s="69">
        <v>-2311.77</v>
      </c>
      <c r="AG33" s="92">
        <v>-4894.74</v>
      </c>
      <c r="AH33" s="9"/>
      <c r="AI33" s="9"/>
      <c r="AJ33" s="9"/>
      <c r="AK33" s="9"/>
      <c r="AL33" s="92">
        <v>575.16999999999996</v>
      </c>
      <c r="AM33" s="92">
        <v>1033.45</v>
      </c>
      <c r="AN33" s="92">
        <v>-4</v>
      </c>
      <c r="AO33" s="92">
        <v>-7</v>
      </c>
      <c r="AP33" s="92">
        <v>102</v>
      </c>
      <c r="AQ33" s="92">
        <v>139</v>
      </c>
      <c r="AR33" s="9">
        <v>4845</v>
      </c>
      <c r="AS33" s="9">
        <v>9199</v>
      </c>
      <c r="AT33" s="92">
        <v>-1494.82</v>
      </c>
      <c r="AU33" s="92">
        <v>-3476.05</v>
      </c>
      <c r="AV33" s="92">
        <v>3451</v>
      </c>
      <c r="AW33" s="92">
        <v>5506</v>
      </c>
      <c r="AX33" s="92">
        <v>146</v>
      </c>
      <c r="AY33" s="92">
        <v>264</v>
      </c>
      <c r="AZ33" s="9"/>
      <c r="BA33" s="9"/>
      <c r="BB33" s="92">
        <v>2357</v>
      </c>
      <c r="BC33" s="92">
        <v>4109</v>
      </c>
      <c r="BD33" s="92">
        <v>818.45</v>
      </c>
      <c r="BE33" s="92">
        <v>1443.65</v>
      </c>
      <c r="BF33" s="92">
        <v>342</v>
      </c>
      <c r="BG33" s="92">
        <v>626</v>
      </c>
      <c r="BH33" s="92">
        <v>516</v>
      </c>
      <c r="BI33" s="92">
        <v>917</v>
      </c>
      <c r="BJ33" s="92">
        <v>3652</v>
      </c>
      <c r="BK33" s="92">
        <v>3744</v>
      </c>
      <c r="BL33" s="68">
        <f t="shared" si="6"/>
        <v>12960.5</v>
      </c>
      <c r="BM33" s="68">
        <f t="shared" si="5"/>
        <v>19484.169999999998</v>
      </c>
    </row>
    <row r="34" spans="1:65" s="7" customFormat="1" x14ac:dyDescent="0.25">
      <c r="A34" s="10" t="s">
        <v>190</v>
      </c>
      <c r="B34" s="10">
        <v>-970</v>
      </c>
      <c r="C34" s="10">
        <v>-1594</v>
      </c>
      <c r="D34" s="10"/>
      <c r="E34" s="10"/>
      <c r="F34" s="10"/>
      <c r="G34" s="10"/>
      <c r="H34" s="10">
        <v>6173</v>
      </c>
      <c r="I34" s="10">
        <v>10902</v>
      </c>
      <c r="J34" s="10"/>
      <c r="K34" s="10"/>
      <c r="L34" s="10">
        <v>2325</v>
      </c>
      <c r="M34" s="10">
        <v>2345</v>
      </c>
      <c r="N34" s="10"/>
      <c r="O34" s="10"/>
      <c r="P34" s="10">
        <v>370.07</v>
      </c>
      <c r="Q34" s="10">
        <v>662.64</v>
      </c>
      <c r="R34" s="10">
        <v>3297.44</v>
      </c>
      <c r="S34" s="10">
        <v>5753.89</v>
      </c>
      <c r="T34" s="10">
        <v>3899</v>
      </c>
      <c r="U34" s="10">
        <v>5581</v>
      </c>
      <c r="V34" s="10">
        <v>1117</v>
      </c>
      <c r="W34" s="10">
        <v>2220</v>
      </c>
      <c r="X34" s="10">
        <v>16845</v>
      </c>
      <c r="Y34" s="10">
        <v>28988</v>
      </c>
      <c r="Z34" s="10">
        <v>7394</v>
      </c>
      <c r="AA34" s="10">
        <v>12771</v>
      </c>
      <c r="AB34" s="10">
        <v>393.45</v>
      </c>
      <c r="AC34" s="10">
        <v>675.48</v>
      </c>
      <c r="AD34" s="10">
        <v>2391</v>
      </c>
      <c r="AE34" s="10">
        <v>4134</v>
      </c>
      <c r="AF34" s="10">
        <v>-215.42</v>
      </c>
      <c r="AG34" s="10">
        <v>-1402.41</v>
      </c>
      <c r="AH34" s="10"/>
      <c r="AI34" s="10"/>
      <c r="AJ34" s="10"/>
      <c r="AK34" s="10"/>
      <c r="AL34" s="10">
        <v>8620.5</v>
      </c>
      <c r="AM34" s="10">
        <v>12831.35</v>
      </c>
      <c r="AN34" s="10">
        <v>13</v>
      </c>
      <c r="AO34" s="10">
        <v>32</v>
      </c>
      <c r="AP34" s="10">
        <v>776</v>
      </c>
      <c r="AQ34" s="10">
        <v>1510</v>
      </c>
      <c r="AR34" s="10">
        <v>3452</v>
      </c>
      <c r="AS34" s="10">
        <v>4549</v>
      </c>
      <c r="AT34" s="10">
        <v>3492.84</v>
      </c>
      <c r="AU34" s="10">
        <v>5191.01</v>
      </c>
      <c r="AV34" s="10">
        <v>2112</v>
      </c>
      <c r="AW34" s="10">
        <v>3687</v>
      </c>
      <c r="AX34" s="10">
        <v>2016</v>
      </c>
      <c r="AY34" s="10">
        <v>3644</v>
      </c>
      <c r="AZ34" s="10"/>
      <c r="BA34" s="10"/>
      <c r="BB34" s="10">
        <v>8309</v>
      </c>
      <c r="BC34" s="10">
        <v>14131</v>
      </c>
      <c r="BD34" s="10">
        <v>19333.45</v>
      </c>
      <c r="BE34" s="10">
        <v>34210.68</v>
      </c>
      <c r="BF34" s="10">
        <v>6842</v>
      </c>
      <c r="BG34" s="10">
        <v>11488</v>
      </c>
      <c r="BH34" s="10">
        <v>8460</v>
      </c>
      <c r="BI34" s="10">
        <v>14708</v>
      </c>
      <c r="BJ34" s="10">
        <v>-205</v>
      </c>
      <c r="BK34" s="10">
        <v>1707</v>
      </c>
      <c r="BL34" s="63">
        <f t="shared" si="6"/>
        <v>106228.33</v>
      </c>
      <c r="BM34" s="63">
        <f t="shared" si="5"/>
        <v>178725.63999999998</v>
      </c>
    </row>
    <row r="35" spans="1:65" x14ac:dyDescent="0.25">
      <c r="A35" s="22"/>
    </row>
    <row r="36" spans="1:65" x14ac:dyDescent="0.25">
      <c r="A36" s="23" t="s">
        <v>185</v>
      </c>
    </row>
    <row r="37" spans="1:65" x14ac:dyDescent="0.25">
      <c r="A37" s="3" t="s">
        <v>0</v>
      </c>
      <c r="B37" s="147" t="s">
        <v>1</v>
      </c>
      <c r="C37" s="148"/>
      <c r="D37" s="147" t="s">
        <v>233</v>
      </c>
      <c r="E37" s="148"/>
      <c r="F37" s="147" t="s">
        <v>2</v>
      </c>
      <c r="G37" s="148"/>
      <c r="H37" s="147" t="s">
        <v>3</v>
      </c>
      <c r="I37" s="148"/>
      <c r="J37" s="147" t="s">
        <v>242</v>
      </c>
      <c r="K37" s="148"/>
      <c r="L37" s="147" t="s">
        <v>234</v>
      </c>
      <c r="M37" s="148"/>
      <c r="N37" s="147" t="s">
        <v>5</v>
      </c>
      <c r="O37" s="148"/>
      <c r="P37" s="147" t="s">
        <v>4</v>
      </c>
      <c r="Q37" s="148"/>
      <c r="R37" s="147" t="s">
        <v>6</v>
      </c>
      <c r="S37" s="148"/>
      <c r="T37" s="147" t="s">
        <v>254</v>
      </c>
      <c r="U37" s="148"/>
      <c r="V37" s="147" t="s">
        <v>7</v>
      </c>
      <c r="W37" s="148"/>
      <c r="X37" s="147" t="s">
        <v>8</v>
      </c>
      <c r="Y37" s="148"/>
      <c r="Z37" s="147" t="s">
        <v>9</v>
      </c>
      <c r="AA37" s="148"/>
      <c r="AB37" s="147" t="s">
        <v>241</v>
      </c>
      <c r="AC37" s="148"/>
      <c r="AD37" s="147" t="s">
        <v>10</v>
      </c>
      <c r="AE37" s="148"/>
      <c r="AF37" s="147" t="s">
        <v>11</v>
      </c>
      <c r="AG37" s="148"/>
      <c r="AH37" s="147" t="s">
        <v>235</v>
      </c>
      <c r="AI37" s="148"/>
      <c r="AJ37" s="147" t="s">
        <v>253</v>
      </c>
      <c r="AK37" s="148"/>
      <c r="AL37" s="147" t="s">
        <v>12</v>
      </c>
      <c r="AM37" s="148"/>
      <c r="AN37" s="147" t="s">
        <v>236</v>
      </c>
      <c r="AO37" s="148"/>
      <c r="AP37" s="147" t="s">
        <v>237</v>
      </c>
      <c r="AQ37" s="148"/>
      <c r="AR37" s="147" t="s">
        <v>240</v>
      </c>
      <c r="AS37" s="148"/>
      <c r="AT37" s="147" t="s">
        <v>13</v>
      </c>
      <c r="AU37" s="148"/>
      <c r="AV37" s="147" t="s">
        <v>14</v>
      </c>
      <c r="AW37" s="148"/>
      <c r="AX37" s="147" t="s">
        <v>15</v>
      </c>
      <c r="AY37" s="148"/>
      <c r="AZ37" s="147" t="s">
        <v>16</v>
      </c>
      <c r="BA37" s="148"/>
      <c r="BB37" s="147" t="s">
        <v>17</v>
      </c>
      <c r="BC37" s="148"/>
      <c r="BD37" s="147" t="s">
        <v>238</v>
      </c>
      <c r="BE37" s="148"/>
      <c r="BF37" s="147" t="s">
        <v>239</v>
      </c>
      <c r="BG37" s="148"/>
      <c r="BH37" s="147" t="s">
        <v>18</v>
      </c>
      <c r="BI37" s="148"/>
      <c r="BJ37" s="147" t="s">
        <v>19</v>
      </c>
      <c r="BK37" s="148"/>
      <c r="BL37" s="149" t="s">
        <v>20</v>
      </c>
      <c r="BM37" s="150"/>
    </row>
    <row r="38" spans="1:65" ht="30" x14ac:dyDescent="0.25">
      <c r="A38" s="3"/>
      <c r="B38" s="53" t="s">
        <v>243</v>
      </c>
      <c r="C38" s="54" t="s">
        <v>244</v>
      </c>
      <c r="D38" s="53" t="s">
        <v>243</v>
      </c>
      <c r="E38" s="54" t="s">
        <v>244</v>
      </c>
      <c r="F38" s="53" t="s">
        <v>243</v>
      </c>
      <c r="G38" s="54" t="s">
        <v>244</v>
      </c>
      <c r="H38" s="53" t="s">
        <v>243</v>
      </c>
      <c r="I38" s="54" t="s">
        <v>244</v>
      </c>
      <c r="J38" s="53" t="s">
        <v>243</v>
      </c>
      <c r="K38" s="54" t="s">
        <v>244</v>
      </c>
      <c r="L38" s="53" t="s">
        <v>243</v>
      </c>
      <c r="M38" s="54" t="s">
        <v>244</v>
      </c>
      <c r="N38" s="53" t="s">
        <v>243</v>
      </c>
      <c r="O38" s="54" t="s">
        <v>244</v>
      </c>
      <c r="P38" s="53" t="s">
        <v>243</v>
      </c>
      <c r="Q38" s="54" t="s">
        <v>244</v>
      </c>
      <c r="R38" s="53" t="s">
        <v>243</v>
      </c>
      <c r="S38" s="54" t="s">
        <v>244</v>
      </c>
      <c r="T38" s="53" t="s">
        <v>243</v>
      </c>
      <c r="U38" s="54" t="s">
        <v>244</v>
      </c>
      <c r="V38" s="53" t="s">
        <v>243</v>
      </c>
      <c r="W38" s="54" t="s">
        <v>244</v>
      </c>
      <c r="X38" s="53" t="s">
        <v>243</v>
      </c>
      <c r="Y38" s="54" t="s">
        <v>244</v>
      </c>
      <c r="Z38" s="53" t="s">
        <v>243</v>
      </c>
      <c r="AA38" s="54" t="s">
        <v>244</v>
      </c>
      <c r="AB38" s="53" t="s">
        <v>243</v>
      </c>
      <c r="AC38" s="54" t="s">
        <v>244</v>
      </c>
      <c r="AD38" s="53" t="s">
        <v>243</v>
      </c>
      <c r="AE38" s="54" t="s">
        <v>244</v>
      </c>
      <c r="AF38" s="53" t="s">
        <v>243</v>
      </c>
      <c r="AG38" s="54" t="s">
        <v>244</v>
      </c>
      <c r="AH38" s="53" t="s">
        <v>243</v>
      </c>
      <c r="AI38" s="54" t="s">
        <v>244</v>
      </c>
      <c r="AJ38" s="53" t="s">
        <v>243</v>
      </c>
      <c r="AK38" s="54" t="s">
        <v>244</v>
      </c>
      <c r="AL38" s="53" t="s">
        <v>243</v>
      </c>
      <c r="AM38" s="54" t="s">
        <v>244</v>
      </c>
      <c r="AN38" s="53" t="s">
        <v>243</v>
      </c>
      <c r="AO38" s="54" t="s">
        <v>244</v>
      </c>
      <c r="AP38" s="53" t="s">
        <v>243</v>
      </c>
      <c r="AQ38" s="54" t="s">
        <v>244</v>
      </c>
      <c r="AR38" s="53" t="s">
        <v>243</v>
      </c>
      <c r="AS38" s="54" t="s">
        <v>244</v>
      </c>
      <c r="AT38" s="53" t="s">
        <v>243</v>
      </c>
      <c r="AU38" s="54" t="s">
        <v>244</v>
      </c>
      <c r="AV38" s="53" t="s">
        <v>243</v>
      </c>
      <c r="AW38" s="54" t="s">
        <v>244</v>
      </c>
      <c r="AX38" s="53" t="s">
        <v>243</v>
      </c>
      <c r="AY38" s="54" t="s">
        <v>244</v>
      </c>
      <c r="AZ38" s="53" t="s">
        <v>243</v>
      </c>
      <c r="BA38" s="54" t="s">
        <v>244</v>
      </c>
      <c r="BB38" s="53" t="s">
        <v>243</v>
      </c>
      <c r="BC38" s="54" t="s">
        <v>244</v>
      </c>
      <c r="BD38" s="53" t="s">
        <v>243</v>
      </c>
      <c r="BE38" s="54" t="s">
        <v>244</v>
      </c>
      <c r="BF38" s="53" t="s">
        <v>243</v>
      </c>
      <c r="BG38" s="54" t="s">
        <v>244</v>
      </c>
      <c r="BH38" s="53" t="s">
        <v>243</v>
      </c>
      <c r="BI38" s="54" t="s">
        <v>244</v>
      </c>
      <c r="BJ38" s="53" t="s">
        <v>243</v>
      </c>
      <c r="BK38" s="54" t="s">
        <v>244</v>
      </c>
      <c r="BL38" s="105" t="s">
        <v>243</v>
      </c>
      <c r="BM38" s="106" t="s">
        <v>244</v>
      </c>
    </row>
    <row r="39" spans="1:65" x14ac:dyDescent="0.25">
      <c r="A39" s="24" t="s">
        <v>304</v>
      </c>
      <c r="B39" s="9"/>
      <c r="C39" s="9"/>
      <c r="D39" s="9"/>
      <c r="E39" s="9"/>
      <c r="F39" s="9"/>
      <c r="G39" s="9"/>
      <c r="H39" s="76"/>
      <c r="I39" s="76"/>
      <c r="J39" s="76"/>
      <c r="K39" s="76"/>
      <c r="L39" s="92">
        <v>58</v>
      </c>
      <c r="M39" s="92">
        <v>114</v>
      </c>
      <c r="N39" s="76"/>
      <c r="O39" s="76"/>
      <c r="P39" s="92">
        <v>1.1100000000000001</v>
      </c>
      <c r="Q39" s="92">
        <v>1.26</v>
      </c>
      <c r="R39" s="92">
        <v>151.29</v>
      </c>
      <c r="S39" s="92">
        <v>282.41000000000003</v>
      </c>
      <c r="T39" s="92">
        <v>52</v>
      </c>
      <c r="U39" s="92">
        <v>90</v>
      </c>
      <c r="V39" s="92">
        <v>266</v>
      </c>
      <c r="W39" s="92">
        <v>266</v>
      </c>
      <c r="X39" s="92">
        <v>817</v>
      </c>
      <c r="Y39" s="92">
        <v>1637</v>
      </c>
      <c r="Z39" s="92">
        <v>345</v>
      </c>
      <c r="AA39" s="92">
        <v>591</v>
      </c>
      <c r="AB39" s="92">
        <v>7.11</v>
      </c>
      <c r="AC39" s="92">
        <v>12.35</v>
      </c>
      <c r="AD39" s="76"/>
      <c r="AE39" s="76"/>
      <c r="AF39" s="69">
        <v>10.88</v>
      </c>
      <c r="AG39" s="92">
        <v>26.82</v>
      </c>
      <c r="AH39" s="9"/>
      <c r="AI39" s="9"/>
      <c r="AJ39" s="9"/>
      <c r="AK39" s="9"/>
      <c r="AL39" s="9"/>
      <c r="AM39" s="9"/>
      <c r="AN39" s="76"/>
      <c r="AO39" s="76"/>
      <c r="AP39" s="92">
        <v>10</v>
      </c>
      <c r="AQ39" s="92">
        <v>24</v>
      </c>
      <c r="AR39" s="9">
        <v>308</v>
      </c>
      <c r="AS39" s="9">
        <v>624</v>
      </c>
      <c r="AT39" s="76"/>
      <c r="AU39" s="76"/>
      <c r="AV39" s="92">
        <v>92</v>
      </c>
      <c r="AW39" s="92">
        <v>186</v>
      </c>
      <c r="AX39" s="92">
        <v>25</v>
      </c>
      <c r="AY39" s="92">
        <v>45</v>
      </c>
      <c r="AZ39" s="9"/>
      <c r="BA39" s="9"/>
      <c r="BB39" s="92">
        <v>257</v>
      </c>
      <c r="BC39" s="92">
        <v>453</v>
      </c>
      <c r="BD39" s="76"/>
      <c r="BE39" s="76"/>
      <c r="BF39" s="92">
        <v>554</v>
      </c>
      <c r="BG39" s="92">
        <v>1136</v>
      </c>
      <c r="BH39" s="9"/>
      <c r="BI39" s="9"/>
      <c r="BJ39" s="9">
        <v>5</v>
      </c>
      <c r="BK39" s="9">
        <v>26</v>
      </c>
      <c r="BL39" s="68">
        <f t="shared" ref="BL39:BL45" si="7">SUM(B39+D39+F39+H39+J39+L39+N39+P39+R39+T39+V39+X39+Z39+AB39+AD39+AF39+AH39+AJ39+AL39+AN39+AP39+AR39+AT39+AV39+AX39+AZ39+BB39+BD39+BF39+BH39+BJ39)</f>
        <v>2959.3900000000003</v>
      </c>
      <c r="BM39" s="68">
        <f t="shared" ref="BM39:BM45" si="8">SUM(C39+E39+G39+I39+K39+M39+O39+Q39+S39+U39+W39+Y39+AA39+AC39+AE39+AG39+AI39+AK39+AM39+AO39+AQ39+AS39+AU39+AW39+AY39+BA39+BC39+BE39+BG39+BI39+BK39)</f>
        <v>5514.84</v>
      </c>
    </row>
    <row r="40" spans="1:65" s="71" customFormat="1" x14ac:dyDescent="0.25">
      <c r="A40" s="24" t="s">
        <v>305</v>
      </c>
      <c r="B40" s="92"/>
      <c r="C40" s="92"/>
      <c r="D40" s="92"/>
      <c r="E40" s="92"/>
      <c r="F40" s="92"/>
      <c r="G40" s="92"/>
      <c r="H40" s="92">
        <v>63</v>
      </c>
      <c r="I40" s="92">
        <v>179</v>
      </c>
      <c r="J40" s="92"/>
      <c r="K40" s="92"/>
      <c r="L40" s="92">
        <v>3</v>
      </c>
      <c r="M40" s="92">
        <v>7</v>
      </c>
      <c r="N40" s="92"/>
      <c r="O40" s="92"/>
      <c r="P40" s="92"/>
      <c r="Q40" s="92">
        <v>0.01</v>
      </c>
      <c r="R40" s="92"/>
      <c r="S40" s="92"/>
      <c r="T40" s="92">
        <v>14</v>
      </c>
      <c r="U40" s="92">
        <v>21</v>
      </c>
      <c r="V40" s="92">
        <v>77</v>
      </c>
      <c r="W40" s="92">
        <v>77</v>
      </c>
      <c r="X40" s="92">
        <v>166</v>
      </c>
      <c r="Y40" s="92">
        <v>309</v>
      </c>
      <c r="Z40" s="92">
        <v>116</v>
      </c>
      <c r="AA40" s="92">
        <v>219</v>
      </c>
      <c r="AB40" s="92">
        <v>1.57</v>
      </c>
      <c r="AC40" s="92">
        <v>3.11</v>
      </c>
      <c r="AD40" s="92"/>
      <c r="AE40" s="92"/>
      <c r="AF40" s="69">
        <v>4.83</v>
      </c>
      <c r="AG40" s="92">
        <v>7.97</v>
      </c>
      <c r="AH40" s="92"/>
      <c r="AI40" s="92"/>
      <c r="AJ40" s="92"/>
      <c r="AK40" s="92"/>
      <c r="AL40" s="92"/>
      <c r="AM40" s="92"/>
      <c r="AN40" s="92"/>
      <c r="AO40" s="92"/>
      <c r="AP40" s="92">
        <v>5</v>
      </c>
      <c r="AQ40" s="92">
        <v>11</v>
      </c>
      <c r="AR40" s="92">
        <v>60</v>
      </c>
      <c r="AS40" s="92">
        <v>121</v>
      </c>
      <c r="AT40" s="92"/>
      <c r="AU40" s="92"/>
      <c r="AV40" s="92">
        <v>28</v>
      </c>
      <c r="AW40" s="92">
        <v>57</v>
      </c>
      <c r="AX40" s="92">
        <v>5</v>
      </c>
      <c r="AY40" s="92">
        <v>8</v>
      </c>
      <c r="AZ40" s="92"/>
      <c r="BA40" s="92"/>
      <c r="BB40" s="92">
        <v>15</v>
      </c>
      <c r="BC40" s="92">
        <v>65</v>
      </c>
      <c r="BD40" s="92"/>
      <c r="BE40" s="92"/>
      <c r="BF40" s="92">
        <v>0</v>
      </c>
      <c r="BG40" s="92"/>
      <c r="BH40" s="92"/>
      <c r="BI40" s="92"/>
      <c r="BJ40" s="92"/>
      <c r="BK40" s="92">
        <v>4</v>
      </c>
      <c r="BL40" s="68">
        <f t="shared" si="7"/>
        <v>558.4</v>
      </c>
      <c r="BM40" s="68">
        <f t="shared" si="8"/>
        <v>1089.0900000000001</v>
      </c>
    </row>
    <row r="41" spans="1:65" s="71" customFormat="1" x14ac:dyDescent="0.25">
      <c r="A41" s="24" t="s">
        <v>306</v>
      </c>
      <c r="B41" s="92"/>
      <c r="C41" s="92"/>
      <c r="D41" s="92"/>
      <c r="E41" s="92"/>
      <c r="F41" s="92"/>
      <c r="G41" s="92"/>
      <c r="H41" s="92">
        <v>388</v>
      </c>
      <c r="I41" s="92">
        <v>759</v>
      </c>
      <c r="J41" s="92"/>
      <c r="K41" s="92"/>
      <c r="L41" s="92"/>
      <c r="M41" s="92"/>
      <c r="N41" s="92"/>
      <c r="O41" s="92"/>
      <c r="P41" s="92"/>
      <c r="Q41" s="92"/>
      <c r="R41" s="92">
        <v>12.02</v>
      </c>
      <c r="S41" s="92">
        <v>22.66</v>
      </c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69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>
        <v>0</v>
      </c>
      <c r="BG41" s="92"/>
      <c r="BH41" s="92"/>
      <c r="BI41" s="92"/>
      <c r="BJ41" s="92"/>
      <c r="BK41" s="92"/>
      <c r="BL41" s="68">
        <f t="shared" si="7"/>
        <v>400.02</v>
      </c>
      <c r="BM41" s="68">
        <f t="shared" si="8"/>
        <v>781.66</v>
      </c>
    </row>
    <row r="42" spans="1:65" s="7" customFormat="1" x14ac:dyDescent="0.25">
      <c r="A42" s="10" t="s">
        <v>307</v>
      </c>
      <c r="B42" s="10"/>
      <c r="C42" s="10"/>
      <c r="D42" s="10"/>
      <c r="E42" s="10"/>
      <c r="F42" s="10"/>
      <c r="G42" s="10"/>
      <c r="H42" s="10">
        <v>451</v>
      </c>
      <c r="I42" s="10">
        <v>937</v>
      </c>
      <c r="J42" s="10"/>
      <c r="K42" s="10"/>
      <c r="L42" s="10">
        <v>62</v>
      </c>
      <c r="M42" s="10">
        <v>121</v>
      </c>
      <c r="N42" s="10"/>
      <c r="O42" s="10"/>
      <c r="P42" s="10">
        <v>1.1100000000000001</v>
      </c>
      <c r="Q42" s="10">
        <v>1.27</v>
      </c>
      <c r="R42" s="10">
        <v>163.31</v>
      </c>
      <c r="S42" s="10">
        <v>305.07</v>
      </c>
      <c r="T42" s="10">
        <v>66</v>
      </c>
      <c r="U42" s="10">
        <v>111</v>
      </c>
      <c r="V42" s="10">
        <v>343</v>
      </c>
      <c r="W42" s="10">
        <v>343</v>
      </c>
      <c r="X42" s="10">
        <v>983</v>
      </c>
      <c r="Y42" s="10">
        <v>1946</v>
      </c>
      <c r="Z42" s="10">
        <v>461</v>
      </c>
      <c r="AA42" s="10">
        <v>810</v>
      </c>
      <c r="AB42" s="10">
        <v>8.68</v>
      </c>
      <c r="AC42" s="10">
        <v>15.46</v>
      </c>
      <c r="AD42" s="10">
        <v>112.81</v>
      </c>
      <c r="AE42" s="10">
        <v>217.11</v>
      </c>
      <c r="AF42" s="10">
        <v>15.71</v>
      </c>
      <c r="AG42" s="10">
        <v>34.799999999999997</v>
      </c>
      <c r="AH42" s="10"/>
      <c r="AI42" s="10"/>
      <c r="AJ42" s="10"/>
      <c r="AK42" s="10"/>
      <c r="AL42" s="10">
        <v>686</v>
      </c>
      <c r="AM42" s="10">
        <v>1247</v>
      </c>
      <c r="AN42" s="10"/>
      <c r="AO42" s="10"/>
      <c r="AP42" s="10">
        <v>15</v>
      </c>
      <c r="AQ42" s="10">
        <v>34</v>
      </c>
      <c r="AR42" s="10">
        <v>368</v>
      </c>
      <c r="AS42" s="10">
        <v>745</v>
      </c>
      <c r="AT42" s="10">
        <v>195.85</v>
      </c>
      <c r="AU42" s="10">
        <v>408.98</v>
      </c>
      <c r="AV42" s="10">
        <v>120</v>
      </c>
      <c r="AW42" s="10">
        <v>243</v>
      </c>
      <c r="AX42" s="10">
        <v>29</v>
      </c>
      <c r="AY42" s="10">
        <v>53</v>
      </c>
      <c r="AZ42" s="10"/>
      <c r="BA42" s="10"/>
      <c r="BB42" s="10">
        <v>272</v>
      </c>
      <c r="BC42" s="10">
        <v>518</v>
      </c>
      <c r="BD42" s="10">
        <v>2236.46</v>
      </c>
      <c r="BE42" s="10">
        <v>4352.18</v>
      </c>
      <c r="BF42" s="10">
        <v>554</v>
      </c>
      <c r="BG42" s="10">
        <v>1136</v>
      </c>
      <c r="BH42" s="10">
        <v>937</v>
      </c>
      <c r="BI42" s="10">
        <v>1878</v>
      </c>
      <c r="BJ42" s="10">
        <v>5</v>
      </c>
      <c r="BK42" s="10">
        <v>30</v>
      </c>
      <c r="BL42" s="63">
        <f t="shared" si="7"/>
        <v>8085.9299999999994</v>
      </c>
      <c r="BM42" s="63">
        <f t="shared" si="8"/>
        <v>15486.87</v>
      </c>
    </row>
    <row r="43" spans="1:65" x14ac:dyDescent="0.25">
      <c r="A43" s="24" t="s">
        <v>308</v>
      </c>
      <c r="B43" s="9"/>
      <c r="C43" s="9"/>
      <c r="D43" s="9"/>
      <c r="E43" s="9"/>
      <c r="F43" s="9"/>
      <c r="G43" s="9"/>
      <c r="H43" s="92">
        <v>16</v>
      </c>
      <c r="I43" s="92">
        <v>49</v>
      </c>
      <c r="J43" s="76"/>
      <c r="K43" s="76"/>
      <c r="L43" s="92">
        <v>1</v>
      </c>
      <c r="M43" s="92">
        <v>2</v>
      </c>
      <c r="N43" s="76"/>
      <c r="O43" s="76"/>
      <c r="P43" s="92">
        <v>1.4</v>
      </c>
      <c r="Q43" s="92">
        <v>3.03</v>
      </c>
      <c r="R43" s="92">
        <v>21.3</v>
      </c>
      <c r="S43" s="92">
        <v>37.14</v>
      </c>
      <c r="T43" s="92">
        <v>10</v>
      </c>
      <c r="U43" s="92">
        <v>26</v>
      </c>
      <c r="V43" s="92">
        <v>15</v>
      </c>
      <c r="W43" s="92">
        <v>15</v>
      </c>
      <c r="X43" s="92">
        <v>157</v>
      </c>
      <c r="Y43" s="92">
        <v>212</v>
      </c>
      <c r="Z43" s="92">
        <v>11</v>
      </c>
      <c r="AA43" s="92">
        <v>25</v>
      </c>
      <c r="AB43" s="92">
        <v>0.26</v>
      </c>
      <c r="AC43" s="92">
        <v>0.56999999999999995</v>
      </c>
      <c r="AD43" s="92">
        <v>1.18</v>
      </c>
      <c r="AE43" s="92">
        <v>1.84</v>
      </c>
      <c r="AF43" s="69">
        <v>4.6100000000000003</v>
      </c>
      <c r="AG43" s="92">
        <v>10.72</v>
      </c>
      <c r="AH43" s="9"/>
      <c r="AI43" s="9"/>
      <c r="AJ43" s="9"/>
      <c r="AK43" s="9"/>
      <c r="AL43" s="92">
        <v>18.149999999999999</v>
      </c>
      <c r="AM43" s="92">
        <v>178.26</v>
      </c>
      <c r="AN43" s="76"/>
      <c r="AO43" s="76"/>
      <c r="AP43" s="92">
        <v>1</v>
      </c>
      <c r="AQ43" s="92">
        <v>21</v>
      </c>
      <c r="AR43" s="9">
        <v>7</v>
      </c>
      <c r="AS43" s="9">
        <v>15</v>
      </c>
      <c r="AT43" s="92">
        <v>14.29</v>
      </c>
      <c r="AU43" s="92">
        <v>34.94</v>
      </c>
      <c r="AV43" s="92">
        <v>2</v>
      </c>
      <c r="AW43" s="92">
        <v>5</v>
      </c>
      <c r="AX43" s="92">
        <v>3</v>
      </c>
      <c r="AY43" s="92">
        <v>6</v>
      </c>
      <c r="AZ43" s="9"/>
      <c r="BA43" s="9"/>
      <c r="BB43" s="92">
        <v>17</v>
      </c>
      <c r="BC43" s="92">
        <v>39</v>
      </c>
      <c r="BD43" s="92">
        <v>178.15</v>
      </c>
      <c r="BE43" s="92">
        <v>540.19000000000005</v>
      </c>
      <c r="BF43" s="92">
        <v>558</v>
      </c>
      <c r="BG43" s="92">
        <v>582</v>
      </c>
      <c r="BH43" s="92">
        <v>40</v>
      </c>
      <c r="BI43" s="92">
        <v>425</v>
      </c>
      <c r="BJ43" s="9">
        <v>1</v>
      </c>
      <c r="BK43" s="9">
        <v>3</v>
      </c>
      <c r="BL43" s="68">
        <f t="shared" si="7"/>
        <v>1078.3400000000001</v>
      </c>
      <c r="BM43" s="68">
        <f t="shared" si="8"/>
        <v>2231.69</v>
      </c>
    </row>
    <row r="44" spans="1:65" x14ac:dyDescent="0.25">
      <c r="A44" s="24" t="s">
        <v>309</v>
      </c>
      <c r="B44" s="9"/>
      <c r="C44" s="9"/>
      <c r="D44" s="9"/>
      <c r="E44" s="9"/>
      <c r="F44" s="9"/>
      <c r="G44" s="9"/>
      <c r="H44" s="92">
        <v>-823</v>
      </c>
      <c r="I44" s="92">
        <v>-1813</v>
      </c>
      <c r="J44" s="76"/>
      <c r="K44" s="76"/>
      <c r="L44" s="92">
        <v>79</v>
      </c>
      <c r="M44" s="92">
        <v>184</v>
      </c>
      <c r="N44" s="76"/>
      <c r="O44" s="76"/>
      <c r="P44" s="92">
        <v>15.84</v>
      </c>
      <c r="Q44" s="92">
        <v>35.979999999999997</v>
      </c>
      <c r="R44" s="92">
        <v>258.23</v>
      </c>
      <c r="S44" s="92">
        <v>623.73</v>
      </c>
      <c r="T44" s="92">
        <v>-159</v>
      </c>
      <c r="U44" s="92">
        <v>-253</v>
      </c>
      <c r="V44" s="92">
        <v>-782</v>
      </c>
      <c r="W44" s="92">
        <v>-782</v>
      </c>
      <c r="X44" s="92">
        <v>1456</v>
      </c>
      <c r="Y44" s="92">
        <v>2411</v>
      </c>
      <c r="Z44" s="92">
        <v>311</v>
      </c>
      <c r="AA44" s="92">
        <v>621</v>
      </c>
      <c r="AB44" s="92">
        <v>11.47</v>
      </c>
      <c r="AC44" s="92">
        <v>19.420000000000002</v>
      </c>
      <c r="AD44" s="92">
        <v>127.69</v>
      </c>
      <c r="AE44" s="92">
        <v>258.64</v>
      </c>
      <c r="AF44" s="69">
        <v>-14.02</v>
      </c>
      <c r="AG44" s="92">
        <v>-45.31</v>
      </c>
      <c r="AH44" s="9"/>
      <c r="AI44" s="9"/>
      <c r="AJ44" s="9"/>
      <c r="AK44" s="9"/>
      <c r="AL44" s="92">
        <v>592.54999999999995</v>
      </c>
      <c r="AM44" s="92">
        <v>819.3</v>
      </c>
      <c r="AN44" s="76"/>
      <c r="AO44" s="76"/>
      <c r="AP44" s="92">
        <v>12</v>
      </c>
      <c r="AQ44" s="92">
        <v>36</v>
      </c>
      <c r="AR44" s="9">
        <v>294</v>
      </c>
      <c r="AS44" s="9">
        <v>639</v>
      </c>
      <c r="AT44" s="92">
        <v>-314.44</v>
      </c>
      <c r="AU44" s="92">
        <v>-824.79</v>
      </c>
      <c r="AV44" s="92">
        <v>460</v>
      </c>
      <c r="AW44" s="92">
        <v>625</v>
      </c>
      <c r="AX44" s="92">
        <v>28</v>
      </c>
      <c r="AY44" s="92">
        <v>52</v>
      </c>
      <c r="AZ44" s="9"/>
      <c r="BA44" s="9"/>
      <c r="BB44" s="92">
        <v>723</v>
      </c>
      <c r="BC44" s="92">
        <v>1478</v>
      </c>
      <c r="BD44" s="92">
        <v>1705.28</v>
      </c>
      <c r="BE44" s="92">
        <v>3290.58</v>
      </c>
      <c r="BF44" s="92">
        <v>272</v>
      </c>
      <c r="BG44" s="92">
        <v>622</v>
      </c>
      <c r="BH44" s="92">
        <v>270</v>
      </c>
      <c r="BI44" s="92">
        <v>510</v>
      </c>
      <c r="BJ44" s="9">
        <v>19</v>
      </c>
      <c r="BK44" s="9">
        <v>85</v>
      </c>
      <c r="BL44" s="68">
        <f t="shared" si="7"/>
        <v>4542.6000000000004</v>
      </c>
      <c r="BM44" s="68">
        <f t="shared" si="8"/>
        <v>8592.5499999999993</v>
      </c>
    </row>
    <row r="45" spans="1:65" s="7" customFormat="1" x14ac:dyDescent="0.25">
      <c r="A45" s="10" t="s">
        <v>190</v>
      </c>
      <c r="B45" s="10"/>
      <c r="C45" s="10"/>
      <c r="D45" s="10"/>
      <c r="E45" s="10"/>
      <c r="F45" s="10"/>
      <c r="G45" s="10"/>
      <c r="H45" s="10">
        <v>-356</v>
      </c>
      <c r="I45" s="10">
        <v>-826</v>
      </c>
      <c r="J45" s="10"/>
      <c r="K45" s="10"/>
      <c r="L45" s="10">
        <v>-16</v>
      </c>
      <c r="M45" s="10">
        <v>-61</v>
      </c>
      <c r="N45" s="10"/>
      <c r="O45" s="10"/>
      <c r="P45" s="10">
        <v>-13.33</v>
      </c>
      <c r="Q45" s="10">
        <v>-31.68</v>
      </c>
      <c r="R45" s="10">
        <v>-73.62</v>
      </c>
      <c r="S45" s="10">
        <v>-281.52</v>
      </c>
      <c r="T45" s="10">
        <v>-83</v>
      </c>
      <c r="U45" s="10">
        <v>-116</v>
      </c>
      <c r="V45" s="10">
        <v>-424</v>
      </c>
      <c r="W45" s="10">
        <v>-424</v>
      </c>
      <c r="X45" s="10">
        <v>-316</v>
      </c>
      <c r="Y45" s="10">
        <v>-253</v>
      </c>
      <c r="Z45" s="10">
        <v>162</v>
      </c>
      <c r="AA45" s="10">
        <v>214</v>
      </c>
      <c r="AB45" s="10">
        <v>-2.5299999999999998</v>
      </c>
      <c r="AC45" s="10">
        <v>-3.39</v>
      </c>
      <c r="AD45" s="10">
        <v>-13.7</v>
      </c>
      <c r="AE45" s="10">
        <v>-39.700000000000003</v>
      </c>
      <c r="AF45" s="10">
        <v>6.3</v>
      </c>
      <c r="AG45" s="10">
        <v>0.21</v>
      </c>
      <c r="AH45" s="10"/>
      <c r="AI45" s="10"/>
      <c r="AJ45" s="10"/>
      <c r="AK45" s="10"/>
      <c r="AL45" s="10">
        <v>112</v>
      </c>
      <c r="AM45" s="10">
        <v>605.58000000000004</v>
      </c>
      <c r="AN45" s="10"/>
      <c r="AO45" s="10"/>
      <c r="AP45" s="10">
        <v>4</v>
      </c>
      <c r="AQ45" s="10">
        <v>20</v>
      </c>
      <c r="AR45" s="10">
        <v>81</v>
      </c>
      <c r="AS45" s="10">
        <v>121</v>
      </c>
      <c r="AT45" s="10">
        <v>-104.3</v>
      </c>
      <c r="AU45" s="10">
        <v>-380.87</v>
      </c>
      <c r="AV45" s="10">
        <v>-337</v>
      </c>
      <c r="AW45" s="10">
        <v>-378</v>
      </c>
      <c r="AX45" s="10">
        <v>4</v>
      </c>
      <c r="AY45" s="10">
        <v>7</v>
      </c>
      <c r="AZ45" s="10"/>
      <c r="BA45" s="10"/>
      <c r="BB45" s="10">
        <v>-435</v>
      </c>
      <c r="BC45" s="10">
        <v>-921</v>
      </c>
      <c r="BD45" s="10">
        <v>709.33</v>
      </c>
      <c r="BE45" s="10">
        <v>1601.79</v>
      </c>
      <c r="BF45" s="10">
        <v>840</v>
      </c>
      <c r="BG45" s="10">
        <v>1097</v>
      </c>
      <c r="BH45" s="10">
        <v>707</v>
      </c>
      <c r="BI45" s="10">
        <v>1793</v>
      </c>
      <c r="BJ45" s="10">
        <v>-13</v>
      </c>
      <c r="BK45" s="10">
        <v>-52</v>
      </c>
      <c r="BL45" s="63">
        <f t="shared" si="7"/>
        <v>438.15000000000009</v>
      </c>
      <c r="BM45" s="63">
        <f t="shared" si="8"/>
        <v>1691.42</v>
      </c>
    </row>
    <row r="46" spans="1:65" x14ac:dyDescent="0.25">
      <c r="A46" s="22"/>
    </row>
    <row r="47" spans="1:65" x14ac:dyDescent="0.25">
      <c r="A47" s="23" t="s">
        <v>186</v>
      </c>
    </row>
    <row r="48" spans="1:65" x14ac:dyDescent="0.25">
      <c r="A48" s="3" t="s">
        <v>0</v>
      </c>
      <c r="B48" s="147" t="s">
        <v>1</v>
      </c>
      <c r="C48" s="148"/>
      <c r="D48" s="147" t="s">
        <v>233</v>
      </c>
      <c r="E48" s="148"/>
      <c r="F48" s="147" t="s">
        <v>2</v>
      </c>
      <c r="G48" s="148"/>
      <c r="H48" s="147" t="s">
        <v>3</v>
      </c>
      <c r="I48" s="148"/>
      <c r="J48" s="147" t="s">
        <v>242</v>
      </c>
      <c r="K48" s="148"/>
      <c r="L48" s="147" t="s">
        <v>234</v>
      </c>
      <c r="M48" s="148"/>
      <c r="N48" s="147" t="s">
        <v>5</v>
      </c>
      <c r="O48" s="148"/>
      <c r="P48" s="147" t="s">
        <v>4</v>
      </c>
      <c r="Q48" s="148"/>
      <c r="R48" s="147" t="s">
        <v>6</v>
      </c>
      <c r="S48" s="148"/>
      <c r="T48" s="147" t="s">
        <v>254</v>
      </c>
      <c r="U48" s="148"/>
      <c r="V48" s="147" t="s">
        <v>7</v>
      </c>
      <c r="W48" s="148"/>
      <c r="X48" s="147" t="s">
        <v>8</v>
      </c>
      <c r="Y48" s="148"/>
      <c r="Z48" s="147" t="s">
        <v>9</v>
      </c>
      <c r="AA48" s="148"/>
      <c r="AB48" s="147" t="s">
        <v>241</v>
      </c>
      <c r="AC48" s="148"/>
      <c r="AD48" s="147" t="s">
        <v>10</v>
      </c>
      <c r="AE48" s="148"/>
      <c r="AF48" s="147" t="s">
        <v>11</v>
      </c>
      <c r="AG48" s="148"/>
      <c r="AH48" s="147" t="s">
        <v>235</v>
      </c>
      <c r="AI48" s="148"/>
      <c r="AJ48" s="147" t="s">
        <v>253</v>
      </c>
      <c r="AK48" s="148"/>
      <c r="AL48" s="147" t="s">
        <v>12</v>
      </c>
      <c r="AM48" s="148"/>
      <c r="AN48" s="147" t="s">
        <v>236</v>
      </c>
      <c r="AO48" s="148"/>
      <c r="AP48" s="147" t="s">
        <v>237</v>
      </c>
      <c r="AQ48" s="148"/>
      <c r="AR48" s="147" t="s">
        <v>240</v>
      </c>
      <c r="AS48" s="148"/>
      <c r="AT48" s="147" t="s">
        <v>13</v>
      </c>
      <c r="AU48" s="148"/>
      <c r="AV48" s="147" t="s">
        <v>14</v>
      </c>
      <c r="AW48" s="148"/>
      <c r="AX48" s="147" t="s">
        <v>15</v>
      </c>
      <c r="AY48" s="148"/>
      <c r="AZ48" s="147" t="s">
        <v>16</v>
      </c>
      <c r="BA48" s="148"/>
      <c r="BB48" s="147" t="s">
        <v>17</v>
      </c>
      <c r="BC48" s="148"/>
      <c r="BD48" s="147" t="s">
        <v>238</v>
      </c>
      <c r="BE48" s="148"/>
      <c r="BF48" s="147" t="s">
        <v>239</v>
      </c>
      <c r="BG48" s="148"/>
      <c r="BH48" s="147" t="s">
        <v>18</v>
      </c>
      <c r="BI48" s="148"/>
      <c r="BJ48" s="147" t="s">
        <v>19</v>
      </c>
      <c r="BK48" s="148"/>
      <c r="BL48" s="149" t="s">
        <v>20</v>
      </c>
      <c r="BM48" s="150"/>
    </row>
    <row r="49" spans="1:65" ht="30" x14ac:dyDescent="0.25">
      <c r="A49" s="3"/>
      <c r="B49" s="53" t="s">
        <v>243</v>
      </c>
      <c r="C49" s="54" t="s">
        <v>244</v>
      </c>
      <c r="D49" s="53" t="s">
        <v>243</v>
      </c>
      <c r="E49" s="54" t="s">
        <v>244</v>
      </c>
      <c r="F49" s="53" t="s">
        <v>243</v>
      </c>
      <c r="G49" s="54" t="s">
        <v>244</v>
      </c>
      <c r="H49" s="53" t="s">
        <v>243</v>
      </c>
      <c r="I49" s="54" t="s">
        <v>244</v>
      </c>
      <c r="J49" s="53" t="s">
        <v>243</v>
      </c>
      <c r="K49" s="54" t="s">
        <v>244</v>
      </c>
      <c r="L49" s="53" t="s">
        <v>243</v>
      </c>
      <c r="M49" s="54" t="s">
        <v>244</v>
      </c>
      <c r="N49" s="53" t="s">
        <v>243</v>
      </c>
      <c r="O49" s="54" t="s">
        <v>244</v>
      </c>
      <c r="P49" s="53" t="s">
        <v>243</v>
      </c>
      <c r="Q49" s="54" t="s">
        <v>244</v>
      </c>
      <c r="R49" s="53" t="s">
        <v>243</v>
      </c>
      <c r="S49" s="54" t="s">
        <v>244</v>
      </c>
      <c r="T49" s="53" t="s">
        <v>243</v>
      </c>
      <c r="U49" s="54" t="s">
        <v>244</v>
      </c>
      <c r="V49" s="53" t="s">
        <v>243</v>
      </c>
      <c r="W49" s="54" t="s">
        <v>244</v>
      </c>
      <c r="X49" s="53" t="s">
        <v>243</v>
      </c>
      <c r="Y49" s="54" t="s">
        <v>244</v>
      </c>
      <c r="Z49" s="53" t="s">
        <v>243</v>
      </c>
      <c r="AA49" s="54" t="s">
        <v>244</v>
      </c>
      <c r="AB49" s="53" t="s">
        <v>243</v>
      </c>
      <c r="AC49" s="54" t="s">
        <v>244</v>
      </c>
      <c r="AD49" s="53" t="s">
        <v>243</v>
      </c>
      <c r="AE49" s="54" t="s">
        <v>244</v>
      </c>
      <c r="AF49" s="53" t="s">
        <v>243</v>
      </c>
      <c r="AG49" s="54" t="s">
        <v>244</v>
      </c>
      <c r="AH49" s="53" t="s">
        <v>243</v>
      </c>
      <c r="AI49" s="54" t="s">
        <v>244</v>
      </c>
      <c r="AJ49" s="53" t="s">
        <v>243</v>
      </c>
      <c r="AK49" s="54" t="s">
        <v>244</v>
      </c>
      <c r="AL49" s="53" t="s">
        <v>243</v>
      </c>
      <c r="AM49" s="54" t="s">
        <v>244</v>
      </c>
      <c r="AN49" s="53" t="s">
        <v>243</v>
      </c>
      <c r="AO49" s="54" t="s">
        <v>244</v>
      </c>
      <c r="AP49" s="53" t="s">
        <v>243</v>
      </c>
      <c r="AQ49" s="54" t="s">
        <v>244</v>
      </c>
      <c r="AR49" s="53" t="s">
        <v>243</v>
      </c>
      <c r="AS49" s="54" t="s">
        <v>244</v>
      </c>
      <c r="AT49" s="53" t="s">
        <v>243</v>
      </c>
      <c r="AU49" s="54" t="s">
        <v>244</v>
      </c>
      <c r="AV49" s="53" t="s">
        <v>243</v>
      </c>
      <c r="AW49" s="54" t="s">
        <v>244</v>
      </c>
      <c r="AX49" s="53" t="s">
        <v>243</v>
      </c>
      <c r="AY49" s="54" t="s">
        <v>244</v>
      </c>
      <c r="AZ49" s="53" t="s">
        <v>243</v>
      </c>
      <c r="BA49" s="54" t="s">
        <v>244</v>
      </c>
      <c r="BB49" s="53" t="s">
        <v>243</v>
      </c>
      <c r="BC49" s="54" t="s">
        <v>244</v>
      </c>
      <c r="BD49" s="53" t="s">
        <v>243</v>
      </c>
      <c r="BE49" s="54" t="s">
        <v>244</v>
      </c>
      <c r="BF49" s="53" t="s">
        <v>243</v>
      </c>
      <c r="BG49" s="54" t="s">
        <v>244</v>
      </c>
      <c r="BH49" s="53" t="s">
        <v>243</v>
      </c>
      <c r="BI49" s="54" t="s">
        <v>244</v>
      </c>
      <c r="BJ49" s="53" t="s">
        <v>243</v>
      </c>
      <c r="BK49" s="54" t="s">
        <v>244</v>
      </c>
      <c r="BL49" s="105" t="s">
        <v>243</v>
      </c>
      <c r="BM49" s="106" t="s">
        <v>244</v>
      </c>
    </row>
    <row r="50" spans="1:65" x14ac:dyDescent="0.25">
      <c r="A50" s="24" t="s">
        <v>304</v>
      </c>
      <c r="B50" s="92">
        <v>354</v>
      </c>
      <c r="C50" s="92">
        <v>729</v>
      </c>
      <c r="D50" s="92">
        <v>3986</v>
      </c>
      <c r="E50" s="92">
        <v>7682</v>
      </c>
      <c r="F50" s="9"/>
      <c r="G50" s="9"/>
      <c r="H50" s="76"/>
      <c r="I50" s="76"/>
      <c r="J50" s="76"/>
      <c r="K50" s="76"/>
      <c r="L50" s="92">
        <v>1329</v>
      </c>
      <c r="M50" s="92">
        <v>2387</v>
      </c>
      <c r="N50" s="76"/>
      <c r="O50" s="76"/>
      <c r="P50" s="92">
        <v>212.91</v>
      </c>
      <c r="Q50" s="92">
        <v>339.44</v>
      </c>
      <c r="R50" s="92">
        <v>683.51</v>
      </c>
      <c r="S50" s="92">
        <v>1289.47</v>
      </c>
      <c r="T50" s="92">
        <v>560</v>
      </c>
      <c r="U50" s="92">
        <v>1615</v>
      </c>
      <c r="V50" s="92">
        <v>11847</v>
      </c>
      <c r="W50" s="92">
        <v>21873</v>
      </c>
      <c r="X50" s="92">
        <v>6034</v>
      </c>
      <c r="Y50" s="92">
        <v>12151</v>
      </c>
      <c r="Z50" s="92">
        <v>1728</v>
      </c>
      <c r="AA50" s="92">
        <v>3994</v>
      </c>
      <c r="AB50" s="92">
        <v>350.16</v>
      </c>
      <c r="AC50" s="92">
        <v>646.99</v>
      </c>
      <c r="AD50" s="76"/>
      <c r="AE50" s="76"/>
      <c r="AF50" s="69">
        <v>185.88</v>
      </c>
      <c r="AG50" s="92">
        <v>328</v>
      </c>
      <c r="AH50" s="92">
        <v>2385.89</v>
      </c>
      <c r="AI50" s="92">
        <v>4387.3</v>
      </c>
      <c r="AJ50" s="92">
        <v>6476.53</v>
      </c>
      <c r="AK50" s="92">
        <v>12360.5</v>
      </c>
      <c r="AL50" s="76"/>
      <c r="AM50" s="76"/>
      <c r="AN50" s="92">
        <v>85</v>
      </c>
      <c r="AO50" s="92">
        <v>98</v>
      </c>
      <c r="AP50" s="92">
        <v>8</v>
      </c>
      <c r="AQ50" s="92">
        <v>20</v>
      </c>
      <c r="AR50" s="76">
        <v>1362</v>
      </c>
      <c r="AS50" s="76">
        <v>3159</v>
      </c>
      <c r="AT50" s="76"/>
      <c r="AU50" s="76"/>
      <c r="AV50" s="92">
        <v>3205</v>
      </c>
      <c r="AW50" s="92">
        <v>5284</v>
      </c>
      <c r="AX50" s="92">
        <v>39</v>
      </c>
      <c r="AY50" s="92">
        <v>75</v>
      </c>
      <c r="AZ50" s="92">
        <v>33897</v>
      </c>
      <c r="BA50" s="92">
        <v>59985</v>
      </c>
      <c r="BB50" s="92">
        <v>3729</v>
      </c>
      <c r="BC50" s="92">
        <v>6538</v>
      </c>
      <c r="BD50" s="76"/>
      <c r="BE50" s="76"/>
      <c r="BF50" s="92">
        <v>10511</v>
      </c>
      <c r="BG50" s="92">
        <v>18534</v>
      </c>
      <c r="BH50" s="9"/>
      <c r="BI50" s="9"/>
      <c r="BJ50" s="92">
        <v>807</v>
      </c>
      <c r="BK50" s="92">
        <v>1929</v>
      </c>
      <c r="BL50" s="68">
        <f t="shared" ref="BL50:BL56" si="9">SUM(B50+D50+F50+H50+J50+L50+N50+P50+R50+T50+V50+X50+Z50+AB50+AD50+AF50+AH50+AJ50+AL50+AN50+AP50+AR50+AT50+AV50+AX50+AZ50+BB50+BD50+BF50+BH50+BJ50)</f>
        <v>89775.88</v>
      </c>
      <c r="BM50" s="68">
        <f t="shared" ref="BM50:BM56" si="10">SUM(C50+E50+G50+I50+K50+M50+O50+Q50+S50+U50+W50+Y50+AA50+AC50+AE50+AG50+AI50+AK50+AM50+AO50+AQ50+AS50+AU50+AW50+AY50+BA50+BC50+BE50+BG50+BI50+BK50)</f>
        <v>165404.70000000001</v>
      </c>
    </row>
    <row r="51" spans="1:65" s="71" customFormat="1" x14ac:dyDescent="0.25">
      <c r="A51" s="24" t="s">
        <v>305</v>
      </c>
      <c r="B51" s="92">
        <v>39</v>
      </c>
      <c r="C51" s="92">
        <v>67</v>
      </c>
      <c r="D51" s="92">
        <v>496</v>
      </c>
      <c r="E51" s="92">
        <v>724</v>
      </c>
      <c r="F51" s="92"/>
      <c r="G51" s="92"/>
      <c r="H51" s="92">
        <v>45</v>
      </c>
      <c r="I51" s="92">
        <v>119</v>
      </c>
      <c r="J51" s="92"/>
      <c r="K51" s="92"/>
      <c r="L51" s="92">
        <v>59</v>
      </c>
      <c r="M51" s="92">
        <v>85</v>
      </c>
      <c r="N51" s="92"/>
      <c r="O51" s="92"/>
      <c r="P51" s="92">
        <v>5.57</v>
      </c>
      <c r="Q51" s="92">
        <v>22.25</v>
      </c>
      <c r="R51" s="92"/>
      <c r="S51" s="92"/>
      <c r="T51" s="92">
        <v>150</v>
      </c>
      <c r="U51" s="92">
        <v>413</v>
      </c>
      <c r="V51" s="92">
        <v>471</v>
      </c>
      <c r="W51" s="92">
        <v>942</v>
      </c>
      <c r="X51" s="92">
        <v>416</v>
      </c>
      <c r="Y51" s="92">
        <v>979</v>
      </c>
      <c r="Z51" s="92">
        <v>210</v>
      </c>
      <c r="AA51" s="92">
        <v>546</v>
      </c>
      <c r="AB51" s="92">
        <v>6.91</v>
      </c>
      <c r="AC51" s="92">
        <v>15.81</v>
      </c>
      <c r="AD51" s="92"/>
      <c r="AE51" s="92"/>
      <c r="AF51" s="69">
        <v>6.73</v>
      </c>
      <c r="AG51" s="92">
        <v>10.41</v>
      </c>
      <c r="AH51" s="92">
        <v>317.77</v>
      </c>
      <c r="AI51" s="92">
        <v>381.34</v>
      </c>
      <c r="AJ51" s="92">
        <v>1069.7</v>
      </c>
      <c r="AK51" s="92">
        <v>2098.67</v>
      </c>
      <c r="AL51" s="92"/>
      <c r="AM51" s="92"/>
      <c r="AN51" s="92"/>
      <c r="AO51" s="92"/>
      <c r="AP51" s="92">
        <v>2</v>
      </c>
      <c r="AQ51" s="92">
        <v>6</v>
      </c>
      <c r="AR51" s="92">
        <v>105</v>
      </c>
      <c r="AS51" s="92">
        <v>175</v>
      </c>
      <c r="AT51" s="92"/>
      <c r="AU51" s="92"/>
      <c r="AV51" s="92">
        <v>152</v>
      </c>
      <c r="AW51" s="92">
        <v>237</v>
      </c>
      <c r="AX51" s="92">
        <v>0</v>
      </c>
      <c r="AY51" s="92">
        <v>0</v>
      </c>
      <c r="AZ51" s="92">
        <v>3204</v>
      </c>
      <c r="BA51" s="92">
        <v>5727</v>
      </c>
      <c r="BB51" s="92">
        <v>96</v>
      </c>
      <c r="BC51" s="92">
        <v>262</v>
      </c>
      <c r="BD51" s="92"/>
      <c r="BE51" s="92"/>
      <c r="BF51" s="92">
        <v>0</v>
      </c>
      <c r="BG51" s="92"/>
      <c r="BH51" s="92"/>
      <c r="BI51" s="92"/>
      <c r="BJ51" s="92">
        <v>113</v>
      </c>
      <c r="BK51" s="92">
        <v>222</v>
      </c>
      <c r="BL51" s="68">
        <f t="shared" si="9"/>
        <v>6964.68</v>
      </c>
      <c r="BM51" s="68">
        <f t="shared" si="10"/>
        <v>13032.48</v>
      </c>
    </row>
    <row r="52" spans="1:65" s="71" customFormat="1" x14ac:dyDescent="0.25">
      <c r="A52" s="24" t="s">
        <v>306</v>
      </c>
      <c r="B52" s="92"/>
      <c r="C52" s="92"/>
      <c r="D52" s="92"/>
      <c r="E52" s="92"/>
      <c r="F52" s="92"/>
      <c r="G52" s="92"/>
      <c r="H52" s="92">
        <v>4156</v>
      </c>
      <c r="I52" s="92">
        <v>8286</v>
      </c>
      <c r="J52" s="92"/>
      <c r="K52" s="92"/>
      <c r="L52" s="92"/>
      <c r="M52" s="92"/>
      <c r="N52" s="92"/>
      <c r="O52" s="92"/>
      <c r="P52" s="92"/>
      <c r="Q52" s="92"/>
      <c r="R52" s="92">
        <v>6.38</v>
      </c>
      <c r="S52" s="92">
        <v>16.420000000000002</v>
      </c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69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>
        <v>0</v>
      </c>
      <c r="BG52" s="92"/>
      <c r="BH52" s="92"/>
      <c r="BI52" s="92"/>
      <c r="BJ52" s="92"/>
      <c r="BK52" s="92"/>
      <c r="BL52" s="68">
        <f t="shared" si="9"/>
        <v>4162.38</v>
      </c>
      <c r="BM52" s="68">
        <f t="shared" si="10"/>
        <v>8302.42</v>
      </c>
    </row>
    <row r="53" spans="1:65" s="7" customFormat="1" x14ac:dyDescent="0.25">
      <c r="A53" s="10" t="s">
        <v>307</v>
      </c>
      <c r="B53" s="10">
        <v>393</v>
      </c>
      <c r="C53" s="10">
        <v>796</v>
      </c>
      <c r="D53" s="10">
        <v>4481</v>
      </c>
      <c r="E53" s="10">
        <v>8407</v>
      </c>
      <c r="F53" s="10"/>
      <c r="G53" s="10"/>
      <c r="H53" s="10">
        <v>4201</v>
      </c>
      <c r="I53" s="10">
        <v>8405</v>
      </c>
      <c r="J53" s="10">
        <v>10016.57</v>
      </c>
      <c r="K53" s="10">
        <v>18956.07</v>
      </c>
      <c r="L53" s="10">
        <v>1388</v>
      </c>
      <c r="M53" s="10">
        <v>2472</v>
      </c>
      <c r="N53" s="10"/>
      <c r="O53" s="10"/>
      <c r="P53" s="10">
        <v>218.48</v>
      </c>
      <c r="Q53" s="10">
        <v>361.69</v>
      </c>
      <c r="R53" s="10">
        <v>689.89</v>
      </c>
      <c r="S53" s="10">
        <v>1305.8900000000001</v>
      </c>
      <c r="T53" s="10">
        <v>710</v>
      </c>
      <c r="U53" s="10">
        <v>2028</v>
      </c>
      <c r="V53" s="10">
        <v>12317</v>
      </c>
      <c r="W53" s="10">
        <v>22814</v>
      </c>
      <c r="X53" s="10">
        <v>6450</v>
      </c>
      <c r="Y53" s="10">
        <v>13130</v>
      </c>
      <c r="Z53" s="10">
        <v>1938</v>
      </c>
      <c r="AA53" s="10">
        <v>4540</v>
      </c>
      <c r="AB53" s="10">
        <v>357.07</v>
      </c>
      <c r="AC53" s="10">
        <v>662.8</v>
      </c>
      <c r="AD53" s="10">
        <v>484.33</v>
      </c>
      <c r="AE53" s="10">
        <v>956.91</v>
      </c>
      <c r="AF53" s="10">
        <v>192.61</v>
      </c>
      <c r="AG53" s="10">
        <v>338.41</v>
      </c>
      <c r="AH53" s="10">
        <v>2703.66</v>
      </c>
      <c r="AI53" s="10">
        <v>4768.6400000000003</v>
      </c>
      <c r="AJ53" s="10">
        <v>7546.23</v>
      </c>
      <c r="AK53" s="10">
        <v>14459.17</v>
      </c>
      <c r="AL53" s="10">
        <v>9492.5400000000009</v>
      </c>
      <c r="AM53" s="10">
        <v>19531.34</v>
      </c>
      <c r="AN53" s="10">
        <v>85</v>
      </c>
      <c r="AO53" s="10">
        <v>98</v>
      </c>
      <c r="AP53" s="10">
        <v>10</v>
      </c>
      <c r="AQ53" s="10">
        <v>25</v>
      </c>
      <c r="AR53" s="10">
        <v>1467</v>
      </c>
      <c r="AS53" s="10">
        <v>3334</v>
      </c>
      <c r="AT53" s="10">
        <v>1082.07</v>
      </c>
      <c r="AU53" s="10">
        <v>2109.65</v>
      </c>
      <c r="AV53" s="10">
        <v>3357</v>
      </c>
      <c r="AW53" s="10">
        <v>5521</v>
      </c>
      <c r="AX53" s="10">
        <v>39</v>
      </c>
      <c r="AY53" s="10">
        <v>75</v>
      </c>
      <c r="AZ53" s="10">
        <v>37101</v>
      </c>
      <c r="BA53" s="10">
        <v>65712</v>
      </c>
      <c r="BB53" s="10">
        <v>3825</v>
      </c>
      <c r="BC53" s="10">
        <v>6799</v>
      </c>
      <c r="BD53" s="10">
        <v>16946.39</v>
      </c>
      <c r="BE53" s="10">
        <v>36717.01</v>
      </c>
      <c r="BF53" s="10">
        <v>10511</v>
      </c>
      <c r="BG53" s="10">
        <v>18534</v>
      </c>
      <c r="BH53" s="10">
        <v>6829</v>
      </c>
      <c r="BI53" s="10">
        <v>14080</v>
      </c>
      <c r="BJ53" s="10">
        <v>921</v>
      </c>
      <c r="BK53" s="10">
        <v>2150</v>
      </c>
      <c r="BL53" s="63">
        <f t="shared" si="9"/>
        <v>145752.84</v>
      </c>
      <c r="BM53" s="63">
        <f t="shared" si="10"/>
        <v>279087.58</v>
      </c>
    </row>
    <row r="54" spans="1:65" x14ac:dyDescent="0.25">
      <c r="A54" s="24" t="s">
        <v>308</v>
      </c>
      <c r="B54" s="92"/>
      <c r="C54" s="92"/>
      <c r="D54" s="92"/>
      <c r="E54" s="92"/>
      <c r="F54" s="9"/>
      <c r="G54" s="9"/>
      <c r="H54" s="92"/>
      <c r="I54" s="92"/>
      <c r="J54" s="92">
        <v>-401.58</v>
      </c>
      <c r="K54" s="92">
        <v>-390.46</v>
      </c>
      <c r="L54" s="92"/>
      <c r="M54" s="92"/>
      <c r="N54" s="76"/>
      <c r="O54" s="76"/>
      <c r="P54" s="92"/>
      <c r="Q54" s="92">
        <v>14.11</v>
      </c>
      <c r="R54" s="92"/>
      <c r="S54" s="92"/>
      <c r="T54" s="92">
        <v>13</v>
      </c>
      <c r="U54" s="92">
        <v>13</v>
      </c>
      <c r="V54" s="92"/>
      <c r="W54" s="92"/>
      <c r="X54" s="92">
        <v>149</v>
      </c>
      <c r="Y54" s="92">
        <v>713</v>
      </c>
      <c r="Z54" s="92">
        <v>70</v>
      </c>
      <c r="AA54" s="92">
        <v>70</v>
      </c>
      <c r="AB54" s="92"/>
      <c r="AC54" s="92"/>
      <c r="AD54" s="92"/>
      <c r="AE54" s="92"/>
      <c r="AF54" s="69"/>
      <c r="AG54" s="92"/>
      <c r="AH54" s="92"/>
      <c r="AI54" s="92"/>
      <c r="AJ54" s="92"/>
      <c r="AK54" s="92"/>
      <c r="AL54" s="92">
        <v>567.67999999999995</v>
      </c>
      <c r="AM54" s="92">
        <v>567.67999999999995</v>
      </c>
      <c r="AN54" s="92"/>
      <c r="AO54" s="92"/>
      <c r="AP54" s="92"/>
      <c r="AQ54" s="92"/>
      <c r="AR54" s="76"/>
      <c r="AS54" s="76"/>
      <c r="AT54" s="92"/>
      <c r="AU54" s="92"/>
      <c r="AV54" s="92">
        <v>173</v>
      </c>
      <c r="AW54" s="92">
        <v>197</v>
      </c>
      <c r="AX54" s="92"/>
      <c r="AY54" s="92"/>
      <c r="AZ54" s="92"/>
      <c r="BA54" s="92"/>
      <c r="BB54" s="92"/>
      <c r="BC54" s="92"/>
      <c r="BD54" s="92">
        <v>429.35</v>
      </c>
      <c r="BE54" s="92">
        <v>1003.18</v>
      </c>
      <c r="BF54" s="92">
        <v>479</v>
      </c>
      <c r="BG54" s="92">
        <v>479</v>
      </c>
      <c r="BH54" s="92">
        <v>0</v>
      </c>
      <c r="BI54" s="92">
        <v>0</v>
      </c>
      <c r="BJ54" s="92"/>
      <c r="BK54" s="92"/>
      <c r="BL54" s="68">
        <f t="shared" si="9"/>
        <v>1479.4499999999998</v>
      </c>
      <c r="BM54" s="68">
        <f t="shared" si="10"/>
        <v>2666.5099999999998</v>
      </c>
    </row>
    <row r="55" spans="1:65" x14ac:dyDescent="0.25">
      <c r="A55" s="24" t="s">
        <v>309</v>
      </c>
      <c r="B55" s="92">
        <v>49</v>
      </c>
      <c r="C55" s="92">
        <v>86</v>
      </c>
      <c r="D55" s="92">
        <v>2974</v>
      </c>
      <c r="E55" s="92">
        <v>7403</v>
      </c>
      <c r="F55" s="9"/>
      <c r="G55" s="9"/>
      <c r="H55" s="92">
        <v>-7161</v>
      </c>
      <c r="I55" s="92">
        <v>-8604</v>
      </c>
      <c r="J55" s="92">
        <v>9316.41</v>
      </c>
      <c r="K55" s="92">
        <v>17824.8</v>
      </c>
      <c r="L55" s="92">
        <v>-442</v>
      </c>
      <c r="M55" s="92">
        <v>613</v>
      </c>
      <c r="N55" s="76"/>
      <c r="O55" s="76"/>
      <c r="P55" s="92">
        <v>279.10000000000002</v>
      </c>
      <c r="Q55" s="92">
        <v>389.69</v>
      </c>
      <c r="R55" s="92">
        <v>715.42</v>
      </c>
      <c r="S55" s="92">
        <v>1150.04</v>
      </c>
      <c r="T55" s="92">
        <v>-56</v>
      </c>
      <c r="U55" s="92">
        <v>-152</v>
      </c>
      <c r="V55" s="92">
        <v>-14382</v>
      </c>
      <c r="W55" s="92">
        <v>-24298</v>
      </c>
      <c r="X55" s="92">
        <v>5693</v>
      </c>
      <c r="Y55" s="92">
        <v>9769</v>
      </c>
      <c r="Z55" s="92">
        <v>236</v>
      </c>
      <c r="AA55" s="92">
        <v>690</v>
      </c>
      <c r="AB55" s="92">
        <v>251.61</v>
      </c>
      <c r="AC55" s="92">
        <v>435.62</v>
      </c>
      <c r="AD55" s="92">
        <v>30.07</v>
      </c>
      <c r="AE55" s="92">
        <v>69.09</v>
      </c>
      <c r="AF55" s="69">
        <v>-74.040000000000006</v>
      </c>
      <c r="AG55" s="92">
        <v>-120.66</v>
      </c>
      <c r="AH55" s="92">
        <v>290.42</v>
      </c>
      <c r="AI55" s="92">
        <v>418.76</v>
      </c>
      <c r="AJ55" s="92">
        <v>6701.25</v>
      </c>
      <c r="AK55" s="92">
        <v>12173.25</v>
      </c>
      <c r="AL55" s="92">
        <v>1149.6300000000001</v>
      </c>
      <c r="AM55" s="92">
        <v>1929.68</v>
      </c>
      <c r="AN55" s="92">
        <v>1</v>
      </c>
      <c r="AO55" s="92">
        <v>5</v>
      </c>
      <c r="AP55" s="92">
        <v>1</v>
      </c>
      <c r="AQ55" s="92">
        <v>1</v>
      </c>
      <c r="AR55" s="76">
        <v>995</v>
      </c>
      <c r="AS55" s="76">
        <v>1763</v>
      </c>
      <c r="AT55" s="92">
        <v>-336.1</v>
      </c>
      <c r="AU55" s="92">
        <v>-352.79</v>
      </c>
      <c r="AV55" s="92">
        <v>660</v>
      </c>
      <c r="AW55" s="92">
        <v>853</v>
      </c>
      <c r="AX55" s="92">
        <v>2</v>
      </c>
      <c r="AY55" s="92">
        <v>4</v>
      </c>
      <c r="AZ55" s="92">
        <v>1498</v>
      </c>
      <c r="BA55" s="92">
        <v>3630</v>
      </c>
      <c r="BB55" s="92">
        <v>2046</v>
      </c>
      <c r="BC55" s="92">
        <v>3097</v>
      </c>
      <c r="BD55" s="92">
        <v>3252.14</v>
      </c>
      <c r="BE55" s="92">
        <v>7320.74</v>
      </c>
      <c r="BF55" s="92">
        <v>695</v>
      </c>
      <c r="BG55" s="92">
        <v>1418</v>
      </c>
      <c r="BH55" s="92">
        <v>905</v>
      </c>
      <c r="BI55" s="92">
        <v>1832</v>
      </c>
      <c r="BJ55" s="92">
        <v>51</v>
      </c>
      <c r="BK55" s="92">
        <v>125</v>
      </c>
      <c r="BL55" s="68">
        <f t="shared" si="9"/>
        <v>15340.91</v>
      </c>
      <c r="BM55" s="68">
        <f t="shared" si="10"/>
        <v>39473.22</v>
      </c>
    </row>
    <row r="56" spans="1:65" s="7" customFormat="1" x14ac:dyDescent="0.25">
      <c r="A56" s="10" t="s">
        <v>190</v>
      </c>
      <c r="B56" s="10">
        <v>344</v>
      </c>
      <c r="C56" s="10">
        <v>710</v>
      </c>
      <c r="D56" s="10">
        <v>1507</v>
      </c>
      <c r="E56" s="10">
        <v>1004</v>
      </c>
      <c r="F56" s="10"/>
      <c r="G56" s="10"/>
      <c r="H56" s="10">
        <v>-2959</v>
      </c>
      <c r="I56" s="10">
        <v>-199</v>
      </c>
      <c r="J56" s="10">
        <v>298.58</v>
      </c>
      <c r="K56" s="10">
        <v>740.81</v>
      </c>
      <c r="L56" s="10">
        <v>1830</v>
      </c>
      <c r="M56" s="10">
        <v>1859</v>
      </c>
      <c r="N56" s="10"/>
      <c r="O56" s="10"/>
      <c r="P56" s="10">
        <v>-60.62</v>
      </c>
      <c r="Q56" s="10">
        <v>-13.89</v>
      </c>
      <c r="R56" s="10">
        <v>-25.53</v>
      </c>
      <c r="S56" s="10">
        <v>155.85</v>
      </c>
      <c r="T56" s="10">
        <v>666</v>
      </c>
      <c r="U56" s="10">
        <v>1889</v>
      </c>
      <c r="V56" s="10">
        <v>-2065</v>
      </c>
      <c r="W56" s="10">
        <v>-1484</v>
      </c>
      <c r="X56" s="10">
        <v>906</v>
      </c>
      <c r="Y56" s="10">
        <v>4074</v>
      </c>
      <c r="Z56" s="10">
        <v>1772</v>
      </c>
      <c r="AA56" s="10">
        <v>3920</v>
      </c>
      <c r="AB56" s="10">
        <v>105.46</v>
      </c>
      <c r="AC56" s="10">
        <v>227.18</v>
      </c>
      <c r="AD56" s="10">
        <v>454.25</v>
      </c>
      <c r="AE56" s="10">
        <v>887.83</v>
      </c>
      <c r="AF56" s="10">
        <v>118.57</v>
      </c>
      <c r="AG56" s="10">
        <v>217.75</v>
      </c>
      <c r="AH56" s="10">
        <v>2413.25</v>
      </c>
      <c r="AI56" s="10">
        <v>4349.87</v>
      </c>
      <c r="AJ56" s="10">
        <v>844.98</v>
      </c>
      <c r="AK56" s="10">
        <v>2285.92</v>
      </c>
      <c r="AL56" s="10">
        <v>8910.59</v>
      </c>
      <c r="AM56" s="10">
        <v>18169.34</v>
      </c>
      <c r="AN56" s="10">
        <v>86</v>
      </c>
      <c r="AO56" s="10">
        <v>103</v>
      </c>
      <c r="AP56" s="10">
        <v>10</v>
      </c>
      <c r="AQ56" s="10">
        <v>24</v>
      </c>
      <c r="AR56" s="10">
        <v>472</v>
      </c>
      <c r="AS56" s="10">
        <v>1571</v>
      </c>
      <c r="AT56" s="10">
        <v>745.97</v>
      </c>
      <c r="AU56" s="10">
        <v>1756.86</v>
      </c>
      <c r="AV56" s="10">
        <v>2871</v>
      </c>
      <c r="AW56" s="10">
        <v>4866</v>
      </c>
      <c r="AX56" s="10">
        <v>37</v>
      </c>
      <c r="AY56" s="10">
        <v>71</v>
      </c>
      <c r="AZ56" s="10">
        <v>35603</v>
      </c>
      <c r="BA56" s="10">
        <v>62082</v>
      </c>
      <c r="BB56" s="10">
        <v>1779</v>
      </c>
      <c r="BC56" s="10">
        <v>3702</v>
      </c>
      <c r="BD56" s="10">
        <v>14123.6</v>
      </c>
      <c r="BE56" s="10">
        <v>30399.45</v>
      </c>
      <c r="BF56" s="10">
        <v>10296</v>
      </c>
      <c r="BG56" s="10">
        <v>17596</v>
      </c>
      <c r="BH56" s="10">
        <v>11304</v>
      </c>
      <c r="BI56" s="10">
        <v>12248</v>
      </c>
      <c r="BJ56" s="10">
        <v>870</v>
      </c>
      <c r="BK56" s="10">
        <v>2025</v>
      </c>
      <c r="BL56" s="63">
        <f t="shared" si="9"/>
        <v>93258.1</v>
      </c>
      <c r="BM56" s="63">
        <f t="shared" si="10"/>
        <v>175237.97</v>
      </c>
    </row>
    <row r="57" spans="1:65" x14ac:dyDescent="0.25">
      <c r="A57" s="22"/>
      <c r="S57" s="71"/>
    </row>
    <row r="58" spans="1:65" x14ac:dyDescent="0.25">
      <c r="A58" s="23" t="s">
        <v>187</v>
      </c>
    </row>
    <row r="59" spans="1:65" x14ac:dyDescent="0.25">
      <c r="A59" s="3" t="s">
        <v>0</v>
      </c>
      <c r="B59" s="147" t="s">
        <v>1</v>
      </c>
      <c r="C59" s="148"/>
      <c r="D59" s="147" t="s">
        <v>233</v>
      </c>
      <c r="E59" s="148"/>
      <c r="F59" s="147" t="s">
        <v>2</v>
      </c>
      <c r="G59" s="148"/>
      <c r="H59" s="147" t="s">
        <v>3</v>
      </c>
      <c r="I59" s="148"/>
      <c r="J59" s="147" t="s">
        <v>242</v>
      </c>
      <c r="K59" s="148"/>
      <c r="L59" s="147" t="s">
        <v>234</v>
      </c>
      <c r="M59" s="148"/>
      <c r="N59" s="147" t="s">
        <v>5</v>
      </c>
      <c r="O59" s="148"/>
      <c r="P59" s="147" t="s">
        <v>4</v>
      </c>
      <c r="Q59" s="148"/>
      <c r="R59" s="147" t="s">
        <v>6</v>
      </c>
      <c r="S59" s="148"/>
      <c r="T59" s="147" t="s">
        <v>254</v>
      </c>
      <c r="U59" s="148"/>
      <c r="V59" s="147" t="s">
        <v>7</v>
      </c>
      <c r="W59" s="148"/>
      <c r="X59" s="147" t="s">
        <v>8</v>
      </c>
      <c r="Y59" s="148"/>
      <c r="Z59" s="147" t="s">
        <v>9</v>
      </c>
      <c r="AA59" s="148"/>
      <c r="AB59" s="147" t="s">
        <v>241</v>
      </c>
      <c r="AC59" s="148"/>
      <c r="AD59" s="147" t="s">
        <v>10</v>
      </c>
      <c r="AE59" s="148"/>
      <c r="AF59" s="147" t="s">
        <v>11</v>
      </c>
      <c r="AG59" s="148"/>
      <c r="AH59" s="147" t="s">
        <v>235</v>
      </c>
      <c r="AI59" s="148"/>
      <c r="AJ59" s="147" t="s">
        <v>253</v>
      </c>
      <c r="AK59" s="148"/>
      <c r="AL59" s="147" t="s">
        <v>12</v>
      </c>
      <c r="AM59" s="148"/>
      <c r="AN59" s="147" t="s">
        <v>236</v>
      </c>
      <c r="AO59" s="148"/>
      <c r="AP59" s="147" t="s">
        <v>237</v>
      </c>
      <c r="AQ59" s="148"/>
      <c r="AR59" s="147" t="s">
        <v>240</v>
      </c>
      <c r="AS59" s="148"/>
      <c r="AT59" s="147" t="s">
        <v>13</v>
      </c>
      <c r="AU59" s="148"/>
      <c r="AV59" s="147" t="s">
        <v>14</v>
      </c>
      <c r="AW59" s="148"/>
      <c r="AX59" s="147" t="s">
        <v>15</v>
      </c>
      <c r="AY59" s="148"/>
      <c r="AZ59" s="147" t="s">
        <v>16</v>
      </c>
      <c r="BA59" s="148"/>
      <c r="BB59" s="147" t="s">
        <v>17</v>
      </c>
      <c r="BC59" s="148"/>
      <c r="BD59" s="147" t="s">
        <v>238</v>
      </c>
      <c r="BE59" s="148"/>
      <c r="BF59" s="147" t="s">
        <v>239</v>
      </c>
      <c r="BG59" s="148"/>
      <c r="BH59" s="147" t="s">
        <v>18</v>
      </c>
      <c r="BI59" s="148"/>
      <c r="BJ59" s="147" t="s">
        <v>19</v>
      </c>
      <c r="BK59" s="148"/>
      <c r="BL59" s="149" t="s">
        <v>20</v>
      </c>
      <c r="BM59" s="150"/>
    </row>
    <row r="60" spans="1:65" ht="30" x14ac:dyDescent="0.25">
      <c r="A60" s="3"/>
      <c r="B60" s="53" t="s">
        <v>243</v>
      </c>
      <c r="C60" s="54" t="s">
        <v>244</v>
      </c>
      <c r="D60" s="53" t="s">
        <v>243</v>
      </c>
      <c r="E60" s="54" t="s">
        <v>244</v>
      </c>
      <c r="F60" s="53" t="s">
        <v>243</v>
      </c>
      <c r="G60" s="54" t="s">
        <v>244</v>
      </c>
      <c r="H60" s="53" t="s">
        <v>243</v>
      </c>
      <c r="I60" s="54" t="s">
        <v>244</v>
      </c>
      <c r="J60" s="53" t="s">
        <v>243</v>
      </c>
      <c r="K60" s="54" t="s">
        <v>244</v>
      </c>
      <c r="L60" s="53" t="s">
        <v>243</v>
      </c>
      <c r="M60" s="54" t="s">
        <v>244</v>
      </c>
      <c r="N60" s="53" t="s">
        <v>243</v>
      </c>
      <c r="O60" s="54" t="s">
        <v>244</v>
      </c>
      <c r="P60" s="53" t="s">
        <v>243</v>
      </c>
      <c r="Q60" s="54" t="s">
        <v>244</v>
      </c>
      <c r="R60" s="53" t="s">
        <v>243</v>
      </c>
      <c r="S60" s="54" t="s">
        <v>244</v>
      </c>
      <c r="T60" s="53" t="s">
        <v>243</v>
      </c>
      <c r="U60" s="54" t="s">
        <v>244</v>
      </c>
      <c r="V60" s="53" t="s">
        <v>243</v>
      </c>
      <c r="W60" s="54" t="s">
        <v>244</v>
      </c>
      <c r="X60" s="53" t="s">
        <v>243</v>
      </c>
      <c r="Y60" s="54" t="s">
        <v>244</v>
      </c>
      <c r="Z60" s="53" t="s">
        <v>243</v>
      </c>
      <c r="AA60" s="54" t="s">
        <v>244</v>
      </c>
      <c r="AB60" s="53" t="s">
        <v>243</v>
      </c>
      <c r="AC60" s="54" t="s">
        <v>244</v>
      </c>
      <c r="AD60" s="53" t="s">
        <v>243</v>
      </c>
      <c r="AE60" s="54" t="s">
        <v>244</v>
      </c>
      <c r="AF60" s="53" t="s">
        <v>243</v>
      </c>
      <c r="AG60" s="54" t="s">
        <v>244</v>
      </c>
      <c r="AH60" s="53" t="s">
        <v>243</v>
      </c>
      <c r="AI60" s="54" t="s">
        <v>244</v>
      </c>
      <c r="AJ60" s="53" t="s">
        <v>243</v>
      </c>
      <c r="AK60" s="54" t="s">
        <v>244</v>
      </c>
      <c r="AL60" s="53" t="s">
        <v>243</v>
      </c>
      <c r="AM60" s="54" t="s">
        <v>244</v>
      </c>
      <c r="AN60" s="53" t="s">
        <v>243</v>
      </c>
      <c r="AO60" s="54" t="s">
        <v>244</v>
      </c>
      <c r="AP60" s="53" t="s">
        <v>243</v>
      </c>
      <c r="AQ60" s="54" t="s">
        <v>244</v>
      </c>
      <c r="AR60" s="53" t="s">
        <v>243</v>
      </c>
      <c r="AS60" s="54" t="s">
        <v>244</v>
      </c>
      <c r="AT60" s="53" t="s">
        <v>243</v>
      </c>
      <c r="AU60" s="54" t="s">
        <v>244</v>
      </c>
      <c r="AV60" s="53" t="s">
        <v>243</v>
      </c>
      <c r="AW60" s="54" t="s">
        <v>244</v>
      </c>
      <c r="AX60" s="53" t="s">
        <v>243</v>
      </c>
      <c r="AY60" s="54" t="s">
        <v>244</v>
      </c>
      <c r="AZ60" s="53" t="s">
        <v>243</v>
      </c>
      <c r="BA60" s="54" t="s">
        <v>244</v>
      </c>
      <c r="BB60" s="53" t="s">
        <v>243</v>
      </c>
      <c r="BC60" s="54" t="s">
        <v>244</v>
      </c>
      <c r="BD60" s="53" t="s">
        <v>243</v>
      </c>
      <c r="BE60" s="54" t="s">
        <v>244</v>
      </c>
      <c r="BF60" s="53" t="s">
        <v>243</v>
      </c>
      <c r="BG60" s="54" t="s">
        <v>244</v>
      </c>
      <c r="BH60" s="53" t="s">
        <v>243</v>
      </c>
      <c r="BI60" s="54" t="s">
        <v>244</v>
      </c>
      <c r="BJ60" s="53" t="s">
        <v>243</v>
      </c>
      <c r="BK60" s="54" t="s">
        <v>244</v>
      </c>
      <c r="BL60" s="105" t="s">
        <v>243</v>
      </c>
      <c r="BM60" s="106" t="s">
        <v>244</v>
      </c>
    </row>
    <row r="61" spans="1:65" x14ac:dyDescent="0.25">
      <c r="A61" s="24" t="s">
        <v>304</v>
      </c>
      <c r="B61" s="92">
        <v>9</v>
      </c>
      <c r="C61" s="92">
        <v>16</v>
      </c>
      <c r="D61" s="92">
        <v>450</v>
      </c>
      <c r="E61" s="92">
        <v>943</v>
      </c>
      <c r="F61" s="9"/>
      <c r="G61" s="9"/>
      <c r="H61" s="76"/>
      <c r="I61" s="76"/>
      <c r="J61" s="76"/>
      <c r="K61" s="76"/>
      <c r="L61" s="92">
        <v>1580</v>
      </c>
      <c r="M61" s="92">
        <v>2944</v>
      </c>
      <c r="N61" s="76"/>
      <c r="O61" s="76"/>
      <c r="P61" s="92">
        <v>3.24</v>
      </c>
      <c r="Q61" s="92">
        <v>11.1</v>
      </c>
      <c r="R61" s="92">
        <v>258.54000000000002</v>
      </c>
      <c r="S61" s="92">
        <v>446.16</v>
      </c>
      <c r="T61" s="92">
        <v>805</v>
      </c>
      <c r="U61" s="92">
        <v>812</v>
      </c>
      <c r="V61" s="92">
        <v>2113</v>
      </c>
      <c r="W61" s="92">
        <v>3694</v>
      </c>
      <c r="X61" s="92">
        <v>642</v>
      </c>
      <c r="Y61" s="92">
        <v>1162</v>
      </c>
      <c r="Z61" s="92">
        <v>253</v>
      </c>
      <c r="AA61" s="92">
        <v>507</v>
      </c>
      <c r="AB61" s="92">
        <v>13.49</v>
      </c>
      <c r="AC61" s="92">
        <v>21.13</v>
      </c>
      <c r="AD61" s="76"/>
      <c r="AE61" s="76"/>
      <c r="AF61" s="69">
        <v>4.46</v>
      </c>
      <c r="AG61" s="92">
        <v>16.809999999999999</v>
      </c>
      <c r="AH61" s="92">
        <v>33.57</v>
      </c>
      <c r="AI61" s="92">
        <v>74.05</v>
      </c>
      <c r="AJ61" s="92">
        <v>183.21</v>
      </c>
      <c r="AK61" s="92">
        <v>334.5</v>
      </c>
      <c r="AL61" s="76"/>
      <c r="AM61" s="76"/>
      <c r="AN61" s="92">
        <v>28</v>
      </c>
      <c r="AO61" s="92">
        <v>30</v>
      </c>
      <c r="AP61" s="92"/>
      <c r="AQ61" s="92">
        <v>1</v>
      </c>
      <c r="AR61" s="76">
        <v>209</v>
      </c>
      <c r="AS61" s="76">
        <v>60</v>
      </c>
      <c r="AT61" s="76"/>
      <c r="AU61" s="76"/>
      <c r="AV61" s="92">
        <v>2313</v>
      </c>
      <c r="AW61" s="92">
        <v>3284</v>
      </c>
      <c r="AX61" s="92">
        <v>54</v>
      </c>
      <c r="AY61" s="92">
        <v>87</v>
      </c>
      <c r="AZ61" s="92">
        <v>517</v>
      </c>
      <c r="BA61" s="92">
        <v>798</v>
      </c>
      <c r="BB61" s="92">
        <v>255</v>
      </c>
      <c r="BC61" s="92">
        <v>462</v>
      </c>
      <c r="BD61" s="76"/>
      <c r="BE61" s="76"/>
      <c r="BF61" s="92">
        <v>551</v>
      </c>
      <c r="BG61" s="92">
        <v>854</v>
      </c>
      <c r="BH61" s="9"/>
      <c r="BI61" s="9"/>
      <c r="BJ61" s="92">
        <v>1809</v>
      </c>
      <c r="BK61" s="92">
        <v>2197</v>
      </c>
      <c r="BL61" s="68">
        <f t="shared" ref="BL61:BL67" si="11">SUM(B61+D61+F61+H61+J61+L61+N61+P61+R61+T61+V61+X61+Z61+AB61+AD61+AF61+AH61+AJ61+AL61+AN61+AP61+AR61+AT61+AV61+AX61+AZ61+BB61+BD61+BF61+BH61+BJ61)</f>
        <v>12084.51</v>
      </c>
      <c r="BM61" s="68">
        <f t="shared" ref="BM61:BM67" si="12">SUM(C61+E61+G61+I61+K61+M61+O61+Q61+S61+U61+W61+Y61+AA61+AC61+AE61+AG61+AI61+AK61+AM61+AO61+AQ61+AS61+AU61+AW61+AY61+BA61+BC61+BE61+BG61+BI61+BK61)</f>
        <v>18754.75</v>
      </c>
    </row>
    <row r="62" spans="1:65" s="71" customFormat="1" x14ac:dyDescent="0.25">
      <c r="A62" s="24" t="s">
        <v>305</v>
      </c>
      <c r="B62" s="92">
        <v>0</v>
      </c>
      <c r="C62" s="92">
        <v>1</v>
      </c>
      <c r="D62" s="92">
        <v>36</v>
      </c>
      <c r="E62" s="92">
        <v>46</v>
      </c>
      <c r="F62" s="92"/>
      <c r="G62" s="92"/>
      <c r="H62" s="92">
        <v>30</v>
      </c>
      <c r="I62" s="92">
        <v>41</v>
      </c>
      <c r="J62" s="92"/>
      <c r="K62" s="92"/>
      <c r="L62" s="92">
        <v>118</v>
      </c>
      <c r="M62" s="92">
        <v>182</v>
      </c>
      <c r="N62" s="92"/>
      <c r="O62" s="92"/>
      <c r="P62" s="92">
        <v>2.2599999999999998</v>
      </c>
      <c r="Q62" s="92">
        <v>2.35</v>
      </c>
      <c r="R62" s="92"/>
      <c r="S62" s="92"/>
      <c r="T62" s="92">
        <v>14</v>
      </c>
      <c r="U62" s="92">
        <v>14</v>
      </c>
      <c r="V62" s="92">
        <v>31</v>
      </c>
      <c r="W62" s="92">
        <v>63</v>
      </c>
      <c r="X62" s="92">
        <v>37</v>
      </c>
      <c r="Y62" s="92">
        <v>69</v>
      </c>
      <c r="Z62" s="92">
        <v>53</v>
      </c>
      <c r="AA62" s="92">
        <v>126</v>
      </c>
      <c r="AB62" s="92">
        <v>3.07</v>
      </c>
      <c r="AC62" s="92">
        <v>5.34</v>
      </c>
      <c r="AD62" s="92"/>
      <c r="AE62" s="92"/>
      <c r="AF62" s="69">
        <v>1.23</v>
      </c>
      <c r="AG62" s="92">
        <v>4.07</v>
      </c>
      <c r="AH62" s="92">
        <v>4.62</v>
      </c>
      <c r="AI62" s="92">
        <v>2.5</v>
      </c>
      <c r="AJ62" s="92"/>
      <c r="AK62" s="92"/>
      <c r="AL62" s="92"/>
      <c r="AM62" s="92"/>
      <c r="AN62" s="92"/>
      <c r="AO62" s="92"/>
      <c r="AP62" s="92"/>
      <c r="AQ62" s="92">
        <v>0</v>
      </c>
      <c r="AR62" s="92">
        <v>7</v>
      </c>
      <c r="AS62" s="92">
        <v>7</v>
      </c>
      <c r="AT62" s="92"/>
      <c r="AU62" s="92"/>
      <c r="AV62" s="92">
        <v>7</v>
      </c>
      <c r="AW62" s="92">
        <v>13</v>
      </c>
      <c r="AX62" s="92">
        <v>1</v>
      </c>
      <c r="AY62" s="92">
        <v>4</v>
      </c>
      <c r="AZ62" s="92">
        <v>51</v>
      </c>
      <c r="BA62" s="92">
        <v>82</v>
      </c>
      <c r="BB62" s="92">
        <v>29</v>
      </c>
      <c r="BC62" s="92">
        <v>50</v>
      </c>
      <c r="BD62" s="92"/>
      <c r="BE62" s="92"/>
      <c r="BF62" s="92">
        <v>0</v>
      </c>
      <c r="BG62" s="92"/>
      <c r="BH62" s="92"/>
      <c r="BI62" s="92"/>
      <c r="BJ62" s="92"/>
      <c r="BK62" s="92"/>
      <c r="BL62" s="68">
        <f t="shared" si="11"/>
        <v>425.18</v>
      </c>
      <c r="BM62" s="68">
        <f t="shared" si="12"/>
        <v>712.2600000000001</v>
      </c>
    </row>
    <row r="63" spans="1:65" s="71" customFormat="1" x14ac:dyDescent="0.25">
      <c r="A63" s="24" t="s">
        <v>306</v>
      </c>
      <c r="B63" s="92"/>
      <c r="C63" s="92"/>
      <c r="D63" s="92"/>
      <c r="E63" s="92"/>
      <c r="F63" s="92"/>
      <c r="G63" s="92"/>
      <c r="H63" s="92">
        <v>518</v>
      </c>
      <c r="I63" s="92">
        <v>943</v>
      </c>
      <c r="J63" s="92"/>
      <c r="K63" s="92"/>
      <c r="L63" s="92"/>
      <c r="M63" s="92"/>
      <c r="N63" s="92"/>
      <c r="O63" s="92"/>
      <c r="P63" s="92"/>
      <c r="Q63" s="92"/>
      <c r="R63" s="92">
        <v>1.04</v>
      </c>
      <c r="S63" s="92">
        <v>1.0900000000000001</v>
      </c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69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>
        <v>0</v>
      </c>
      <c r="BG63" s="92"/>
      <c r="BH63" s="92"/>
      <c r="BI63" s="92"/>
      <c r="BJ63" s="92"/>
      <c r="BK63" s="92"/>
      <c r="BL63" s="68">
        <f t="shared" si="11"/>
        <v>519.04</v>
      </c>
      <c r="BM63" s="68">
        <f t="shared" si="12"/>
        <v>944.09</v>
      </c>
    </row>
    <row r="64" spans="1:65" s="7" customFormat="1" x14ac:dyDescent="0.25">
      <c r="A64" s="10" t="s">
        <v>307</v>
      </c>
      <c r="B64" s="10">
        <v>9</v>
      </c>
      <c r="C64" s="10">
        <v>17</v>
      </c>
      <c r="D64" s="10">
        <v>486</v>
      </c>
      <c r="E64" s="10">
        <v>989</v>
      </c>
      <c r="F64" s="10"/>
      <c r="G64" s="10"/>
      <c r="H64" s="10">
        <v>548</v>
      </c>
      <c r="I64" s="10">
        <v>985</v>
      </c>
      <c r="J64" s="10">
        <v>1296.04</v>
      </c>
      <c r="K64" s="10">
        <v>1999.17</v>
      </c>
      <c r="L64" s="10">
        <v>1699</v>
      </c>
      <c r="M64" s="10">
        <v>3126</v>
      </c>
      <c r="N64" s="10"/>
      <c r="O64" s="10"/>
      <c r="P64" s="10">
        <v>5.5</v>
      </c>
      <c r="Q64" s="10">
        <v>13.45</v>
      </c>
      <c r="R64" s="10">
        <v>259.58</v>
      </c>
      <c r="S64" s="10">
        <v>447.25</v>
      </c>
      <c r="T64" s="10">
        <v>819</v>
      </c>
      <c r="U64" s="10">
        <v>827</v>
      </c>
      <c r="V64" s="10">
        <v>2144</v>
      </c>
      <c r="W64" s="10">
        <v>3757</v>
      </c>
      <c r="X64" s="10">
        <v>679</v>
      </c>
      <c r="Y64" s="10">
        <v>1231</v>
      </c>
      <c r="Z64" s="10">
        <v>306</v>
      </c>
      <c r="AA64" s="10">
        <v>633</v>
      </c>
      <c r="AB64" s="10">
        <v>16.559999999999999</v>
      </c>
      <c r="AC64" s="10">
        <v>26.47</v>
      </c>
      <c r="AD64" s="10">
        <v>42.87</v>
      </c>
      <c r="AE64" s="10">
        <v>99.8</v>
      </c>
      <c r="AF64" s="10">
        <v>5.69</v>
      </c>
      <c r="AG64" s="10">
        <v>20.88</v>
      </c>
      <c r="AH64" s="10">
        <v>38.19</v>
      </c>
      <c r="AI64" s="10">
        <v>76.55</v>
      </c>
      <c r="AJ64" s="10">
        <v>183.21</v>
      </c>
      <c r="AK64" s="10">
        <v>334.5</v>
      </c>
      <c r="AL64" s="10">
        <v>229.96</v>
      </c>
      <c r="AM64" s="10">
        <v>416.44</v>
      </c>
      <c r="AN64" s="10">
        <v>28</v>
      </c>
      <c r="AO64" s="10">
        <v>30</v>
      </c>
      <c r="AP64" s="10"/>
      <c r="AQ64" s="10">
        <v>1</v>
      </c>
      <c r="AR64" s="10">
        <v>216</v>
      </c>
      <c r="AS64" s="10">
        <v>67</v>
      </c>
      <c r="AT64" s="10">
        <v>141.28</v>
      </c>
      <c r="AU64" s="10">
        <v>284.25</v>
      </c>
      <c r="AV64" s="10">
        <v>2320</v>
      </c>
      <c r="AW64" s="10">
        <v>3297</v>
      </c>
      <c r="AX64" s="10">
        <v>55</v>
      </c>
      <c r="AY64" s="10">
        <v>90</v>
      </c>
      <c r="AZ64" s="10">
        <v>568</v>
      </c>
      <c r="BA64" s="10">
        <v>881</v>
      </c>
      <c r="BB64" s="10">
        <v>284</v>
      </c>
      <c r="BC64" s="10">
        <v>512</v>
      </c>
      <c r="BD64" s="10">
        <v>946.78</v>
      </c>
      <c r="BE64" s="10">
        <v>2619.87</v>
      </c>
      <c r="BF64" s="10">
        <v>551</v>
      </c>
      <c r="BG64" s="10">
        <v>854</v>
      </c>
      <c r="BH64" s="10">
        <v>689</v>
      </c>
      <c r="BI64" s="10">
        <v>1062</v>
      </c>
      <c r="BJ64" s="10">
        <v>1809</v>
      </c>
      <c r="BK64" s="10">
        <v>2197</v>
      </c>
      <c r="BL64" s="63">
        <f t="shared" si="11"/>
        <v>16375.66</v>
      </c>
      <c r="BM64" s="63">
        <f t="shared" si="12"/>
        <v>26894.629999999994</v>
      </c>
    </row>
    <row r="65" spans="1:65" x14ac:dyDescent="0.25">
      <c r="A65" s="24" t="s">
        <v>308</v>
      </c>
      <c r="B65" s="92"/>
      <c r="C65" s="92"/>
      <c r="D65" s="92"/>
      <c r="E65" s="92"/>
      <c r="F65" s="9"/>
      <c r="G65" s="9"/>
      <c r="H65" s="92"/>
      <c r="I65" s="92"/>
      <c r="J65" s="92"/>
      <c r="K65" s="92"/>
      <c r="L65" s="92"/>
      <c r="M65" s="92"/>
      <c r="N65" s="76"/>
      <c r="O65" s="76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>
        <v>299</v>
      </c>
      <c r="AA65" s="92">
        <v>299</v>
      </c>
      <c r="AB65" s="92"/>
      <c r="AC65" s="92"/>
      <c r="AD65" s="92"/>
      <c r="AE65" s="92"/>
      <c r="AF65" s="69"/>
      <c r="AG65" s="92"/>
      <c r="AH65" s="92"/>
      <c r="AI65" s="92"/>
      <c r="AJ65" s="92"/>
      <c r="AK65" s="92"/>
      <c r="AL65" s="76"/>
      <c r="AM65" s="76"/>
      <c r="AN65" s="92"/>
      <c r="AO65" s="92"/>
      <c r="AP65" s="92"/>
      <c r="AQ65" s="92"/>
      <c r="AR65" s="76"/>
      <c r="AS65" s="76"/>
      <c r="AT65" s="92">
        <v>10.1</v>
      </c>
      <c r="AU65" s="92">
        <v>50.26</v>
      </c>
      <c r="AV65" s="92"/>
      <c r="AW65" s="92"/>
      <c r="AX65" s="92"/>
      <c r="AY65" s="92"/>
      <c r="AZ65" s="92"/>
      <c r="BA65" s="92"/>
      <c r="BB65" s="92"/>
      <c r="BC65" s="92"/>
      <c r="BD65" s="92">
        <v>20.53</v>
      </c>
      <c r="BE65" s="92">
        <v>55.98</v>
      </c>
      <c r="BF65" s="92">
        <v>138</v>
      </c>
      <c r="BG65" s="92">
        <v>138</v>
      </c>
      <c r="BH65" s="92">
        <v>0</v>
      </c>
      <c r="BI65" s="92">
        <v>0</v>
      </c>
      <c r="BJ65" s="92"/>
      <c r="BK65" s="92"/>
      <c r="BL65" s="68">
        <f t="shared" si="11"/>
        <v>467.63</v>
      </c>
      <c r="BM65" s="68">
        <f t="shared" si="12"/>
        <v>543.24</v>
      </c>
    </row>
    <row r="66" spans="1:65" x14ac:dyDescent="0.25">
      <c r="A66" s="24" t="s">
        <v>309</v>
      </c>
      <c r="B66" s="92">
        <v>1</v>
      </c>
      <c r="C66" s="92">
        <v>2</v>
      </c>
      <c r="D66" s="92">
        <v>22</v>
      </c>
      <c r="E66" s="92">
        <v>44</v>
      </c>
      <c r="F66" s="9"/>
      <c r="G66" s="9"/>
      <c r="H66" s="92">
        <v>-48</v>
      </c>
      <c r="I66" s="92">
        <v>-86</v>
      </c>
      <c r="J66" s="92">
        <v>135.15</v>
      </c>
      <c r="K66" s="92">
        <v>238.09</v>
      </c>
      <c r="L66" s="92">
        <v>944</v>
      </c>
      <c r="M66" s="92">
        <v>1752</v>
      </c>
      <c r="N66" s="76"/>
      <c r="O66" s="76"/>
      <c r="P66" s="92">
        <v>0.9</v>
      </c>
      <c r="Q66" s="92">
        <v>3.31</v>
      </c>
      <c r="R66" s="92">
        <v>37.880000000000003</v>
      </c>
      <c r="S66" s="92">
        <v>58.91</v>
      </c>
      <c r="T66" s="92">
        <v>-747</v>
      </c>
      <c r="U66" s="92">
        <v>-751</v>
      </c>
      <c r="V66" s="92">
        <v>-3739</v>
      </c>
      <c r="W66" s="92">
        <v>-6483</v>
      </c>
      <c r="X66" s="92">
        <v>798</v>
      </c>
      <c r="Y66" s="92">
        <v>1293</v>
      </c>
      <c r="Z66" s="92">
        <v>22</v>
      </c>
      <c r="AA66" s="92">
        <v>46</v>
      </c>
      <c r="AB66" s="92">
        <v>65.77</v>
      </c>
      <c r="AC66" s="92">
        <v>91.74</v>
      </c>
      <c r="AD66" s="92">
        <v>3.77</v>
      </c>
      <c r="AE66" s="92">
        <v>8.75</v>
      </c>
      <c r="AF66" s="69">
        <v>-0.71</v>
      </c>
      <c r="AG66" s="92">
        <v>-2.31</v>
      </c>
      <c r="AH66" s="92">
        <v>20.98</v>
      </c>
      <c r="AI66" s="92">
        <v>23.37</v>
      </c>
      <c r="AJ66" s="92">
        <v>68.19</v>
      </c>
      <c r="AK66" s="92">
        <v>102.38</v>
      </c>
      <c r="AL66" s="92">
        <v>33.68</v>
      </c>
      <c r="AM66" s="92">
        <v>135.55000000000001</v>
      </c>
      <c r="AN66" s="92">
        <v>-55</v>
      </c>
      <c r="AO66" s="92">
        <v>-60</v>
      </c>
      <c r="AP66" s="92">
        <v>1</v>
      </c>
      <c r="AQ66" s="92">
        <v>1</v>
      </c>
      <c r="AR66" s="76">
        <v>533</v>
      </c>
      <c r="AS66" s="76">
        <v>301</v>
      </c>
      <c r="AT66" s="92">
        <v>-87.79</v>
      </c>
      <c r="AU66" s="92">
        <v>-316.58</v>
      </c>
      <c r="AV66" s="92">
        <v>2082</v>
      </c>
      <c r="AW66" s="92">
        <v>2860</v>
      </c>
      <c r="AX66" s="92">
        <v>12</v>
      </c>
      <c r="AY66" s="92">
        <v>26</v>
      </c>
      <c r="AZ66" s="92">
        <v>203</v>
      </c>
      <c r="BA66" s="92">
        <v>344</v>
      </c>
      <c r="BB66" s="92">
        <v>25</v>
      </c>
      <c r="BC66" s="92">
        <v>52</v>
      </c>
      <c r="BD66" s="92">
        <v>411.86</v>
      </c>
      <c r="BE66" s="92">
        <v>721.72</v>
      </c>
      <c r="BF66" s="92">
        <v>86</v>
      </c>
      <c r="BG66" s="92">
        <v>193</v>
      </c>
      <c r="BH66" s="92">
        <v>1220</v>
      </c>
      <c r="BI66" s="92">
        <v>1679</v>
      </c>
      <c r="BJ66" s="92">
        <v>2016</v>
      </c>
      <c r="BK66" s="92">
        <v>2266</v>
      </c>
      <c r="BL66" s="68">
        <f t="shared" si="11"/>
        <v>4065.6800000000003</v>
      </c>
      <c r="BM66" s="68">
        <f t="shared" si="12"/>
        <v>4543.9299999999994</v>
      </c>
    </row>
    <row r="67" spans="1:65" s="7" customFormat="1" x14ac:dyDescent="0.25">
      <c r="A67" s="10" t="s">
        <v>190</v>
      </c>
      <c r="B67" s="10">
        <v>8</v>
      </c>
      <c r="C67" s="10">
        <v>15</v>
      </c>
      <c r="D67" s="10">
        <v>464</v>
      </c>
      <c r="E67" s="10">
        <v>945</v>
      </c>
      <c r="F67" s="10"/>
      <c r="G67" s="10"/>
      <c r="H67" s="10">
        <v>500</v>
      </c>
      <c r="I67" s="10">
        <v>899</v>
      </c>
      <c r="J67" s="10">
        <v>1160.8900000000001</v>
      </c>
      <c r="K67" s="10">
        <v>1761.08</v>
      </c>
      <c r="L67" s="10">
        <v>755</v>
      </c>
      <c r="M67" s="10">
        <v>1374</v>
      </c>
      <c r="N67" s="10"/>
      <c r="O67" s="10"/>
      <c r="P67" s="10">
        <v>4.5999999999999996</v>
      </c>
      <c r="Q67" s="10">
        <v>10.14</v>
      </c>
      <c r="R67" s="10">
        <v>221.7</v>
      </c>
      <c r="S67" s="10">
        <v>388.34</v>
      </c>
      <c r="T67" s="10">
        <v>72</v>
      </c>
      <c r="U67" s="10">
        <v>76</v>
      </c>
      <c r="V67" s="10">
        <v>-1594</v>
      </c>
      <c r="W67" s="10">
        <v>-2725</v>
      </c>
      <c r="X67" s="10">
        <v>-119</v>
      </c>
      <c r="Y67" s="10">
        <v>-62</v>
      </c>
      <c r="Z67" s="10">
        <v>582</v>
      </c>
      <c r="AA67" s="10">
        <v>886</v>
      </c>
      <c r="AB67" s="10">
        <v>-49.21</v>
      </c>
      <c r="AC67" s="10">
        <v>-65.27</v>
      </c>
      <c r="AD67" s="10">
        <v>39.090000000000003</v>
      </c>
      <c r="AE67" s="10">
        <v>91.05</v>
      </c>
      <c r="AF67" s="10">
        <v>4.9800000000000004</v>
      </c>
      <c r="AG67" s="10">
        <v>18.57</v>
      </c>
      <c r="AH67" s="10">
        <v>17.22</v>
      </c>
      <c r="AI67" s="10">
        <v>53.19</v>
      </c>
      <c r="AJ67" s="10">
        <v>115.01</v>
      </c>
      <c r="AK67" s="10">
        <v>232.12</v>
      </c>
      <c r="AL67" s="10">
        <v>196.29</v>
      </c>
      <c r="AM67" s="10">
        <v>280.89</v>
      </c>
      <c r="AN67" s="10">
        <v>-27</v>
      </c>
      <c r="AO67" s="10">
        <v>-30</v>
      </c>
      <c r="AP67" s="10">
        <v>0</v>
      </c>
      <c r="AQ67" s="10">
        <v>-1</v>
      </c>
      <c r="AR67" s="10">
        <v>-317</v>
      </c>
      <c r="AS67" s="10">
        <v>-233</v>
      </c>
      <c r="AT67" s="10">
        <v>63.59</v>
      </c>
      <c r="AU67" s="10">
        <v>17.93</v>
      </c>
      <c r="AV67" s="10">
        <v>238</v>
      </c>
      <c r="AW67" s="10">
        <v>437</v>
      </c>
      <c r="AX67" s="10">
        <v>43</v>
      </c>
      <c r="AY67" s="10">
        <v>64</v>
      </c>
      <c r="AZ67" s="10">
        <v>366</v>
      </c>
      <c r="BA67" s="10">
        <v>536</v>
      </c>
      <c r="BB67" s="10">
        <v>259</v>
      </c>
      <c r="BC67" s="10">
        <v>460</v>
      </c>
      <c r="BD67" s="10">
        <v>555.44000000000005</v>
      </c>
      <c r="BE67" s="10">
        <v>1954.13</v>
      </c>
      <c r="BF67" s="10">
        <v>603</v>
      </c>
      <c r="BG67" s="10">
        <v>799</v>
      </c>
      <c r="BH67" s="10">
        <v>-530</v>
      </c>
      <c r="BI67" s="10">
        <v>-618</v>
      </c>
      <c r="BJ67" s="10">
        <v>-207</v>
      </c>
      <c r="BK67" s="10">
        <v>-68</v>
      </c>
      <c r="BL67" s="63">
        <f t="shared" si="11"/>
        <v>3425.6000000000004</v>
      </c>
      <c r="BM67" s="63">
        <f t="shared" si="12"/>
        <v>7496.170000000001</v>
      </c>
    </row>
    <row r="68" spans="1:65" x14ac:dyDescent="0.25">
      <c r="A68" s="22"/>
      <c r="S68" s="71"/>
    </row>
    <row r="69" spans="1:65" x14ac:dyDescent="0.25">
      <c r="A69" s="23" t="s">
        <v>246</v>
      </c>
    </row>
    <row r="70" spans="1:65" x14ac:dyDescent="0.25">
      <c r="A70" s="3" t="s">
        <v>0</v>
      </c>
      <c r="B70" s="147" t="s">
        <v>1</v>
      </c>
      <c r="C70" s="148"/>
      <c r="D70" s="147" t="s">
        <v>233</v>
      </c>
      <c r="E70" s="148"/>
      <c r="F70" s="147" t="s">
        <v>2</v>
      </c>
      <c r="G70" s="148"/>
      <c r="H70" s="147" t="s">
        <v>3</v>
      </c>
      <c r="I70" s="148"/>
      <c r="J70" s="147" t="s">
        <v>242</v>
      </c>
      <c r="K70" s="148"/>
      <c r="L70" s="147" t="s">
        <v>234</v>
      </c>
      <c r="M70" s="148"/>
      <c r="N70" s="147" t="s">
        <v>5</v>
      </c>
      <c r="O70" s="148"/>
      <c r="P70" s="147" t="s">
        <v>4</v>
      </c>
      <c r="Q70" s="148"/>
      <c r="R70" s="147" t="s">
        <v>6</v>
      </c>
      <c r="S70" s="148"/>
      <c r="T70" s="147" t="s">
        <v>254</v>
      </c>
      <c r="U70" s="148"/>
      <c r="V70" s="147" t="s">
        <v>7</v>
      </c>
      <c r="W70" s="148"/>
      <c r="X70" s="147" t="s">
        <v>8</v>
      </c>
      <c r="Y70" s="148"/>
      <c r="Z70" s="147" t="s">
        <v>9</v>
      </c>
      <c r="AA70" s="148"/>
      <c r="AB70" s="147" t="s">
        <v>241</v>
      </c>
      <c r="AC70" s="148"/>
      <c r="AD70" s="147" t="s">
        <v>10</v>
      </c>
      <c r="AE70" s="148"/>
      <c r="AF70" s="147" t="s">
        <v>11</v>
      </c>
      <c r="AG70" s="148"/>
      <c r="AH70" s="147" t="s">
        <v>235</v>
      </c>
      <c r="AI70" s="148"/>
      <c r="AJ70" s="147" t="s">
        <v>253</v>
      </c>
      <c r="AK70" s="148"/>
      <c r="AL70" s="147" t="s">
        <v>12</v>
      </c>
      <c r="AM70" s="148"/>
      <c r="AN70" s="147" t="s">
        <v>236</v>
      </c>
      <c r="AO70" s="148"/>
      <c r="AP70" s="147" t="s">
        <v>237</v>
      </c>
      <c r="AQ70" s="148"/>
      <c r="AR70" s="147" t="s">
        <v>240</v>
      </c>
      <c r="AS70" s="148"/>
      <c r="AT70" s="147" t="s">
        <v>13</v>
      </c>
      <c r="AU70" s="148"/>
      <c r="AV70" s="147" t="s">
        <v>14</v>
      </c>
      <c r="AW70" s="148"/>
      <c r="AX70" s="147" t="s">
        <v>15</v>
      </c>
      <c r="AY70" s="148"/>
      <c r="AZ70" s="147" t="s">
        <v>16</v>
      </c>
      <c r="BA70" s="148"/>
      <c r="BB70" s="147" t="s">
        <v>17</v>
      </c>
      <c r="BC70" s="148"/>
      <c r="BD70" s="147" t="s">
        <v>238</v>
      </c>
      <c r="BE70" s="148"/>
      <c r="BF70" s="147" t="s">
        <v>239</v>
      </c>
      <c r="BG70" s="148"/>
      <c r="BH70" s="147" t="s">
        <v>18</v>
      </c>
      <c r="BI70" s="148"/>
      <c r="BJ70" s="147" t="s">
        <v>19</v>
      </c>
      <c r="BK70" s="148"/>
      <c r="BL70" s="149" t="s">
        <v>20</v>
      </c>
      <c r="BM70" s="150"/>
    </row>
    <row r="71" spans="1:65" ht="30" x14ac:dyDescent="0.25">
      <c r="A71" s="3"/>
      <c r="B71" s="53" t="s">
        <v>243</v>
      </c>
      <c r="C71" s="54" t="s">
        <v>244</v>
      </c>
      <c r="D71" s="53" t="s">
        <v>243</v>
      </c>
      <c r="E71" s="54" t="s">
        <v>244</v>
      </c>
      <c r="F71" s="53" t="s">
        <v>243</v>
      </c>
      <c r="G71" s="54" t="s">
        <v>244</v>
      </c>
      <c r="H71" s="53" t="s">
        <v>243</v>
      </c>
      <c r="I71" s="54" t="s">
        <v>244</v>
      </c>
      <c r="J71" s="53" t="s">
        <v>243</v>
      </c>
      <c r="K71" s="54" t="s">
        <v>244</v>
      </c>
      <c r="L71" s="53" t="s">
        <v>243</v>
      </c>
      <c r="M71" s="54" t="s">
        <v>244</v>
      </c>
      <c r="N71" s="53" t="s">
        <v>243</v>
      </c>
      <c r="O71" s="54" t="s">
        <v>244</v>
      </c>
      <c r="P71" s="53" t="s">
        <v>243</v>
      </c>
      <c r="Q71" s="54" t="s">
        <v>244</v>
      </c>
      <c r="R71" s="53" t="s">
        <v>243</v>
      </c>
      <c r="S71" s="54" t="s">
        <v>244</v>
      </c>
      <c r="T71" s="53" t="s">
        <v>243</v>
      </c>
      <c r="U71" s="54" t="s">
        <v>244</v>
      </c>
      <c r="V71" s="53" t="s">
        <v>243</v>
      </c>
      <c r="W71" s="54" t="s">
        <v>244</v>
      </c>
      <c r="X71" s="53" t="s">
        <v>243</v>
      </c>
      <c r="Y71" s="54" t="s">
        <v>244</v>
      </c>
      <c r="Z71" s="53" t="s">
        <v>243</v>
      </c>
      <c r="AA71" s="54" t="s">
        <v>244</v>
      </c>
      <c r="AB71" s="53" t="s">
        <v>243</v>
      </c>
      <c r="AC71" s="54" t="s">
        <v>244</v>
      </c>
      <c r="AD71" s="53" t="s">
        <v>243</v>
      </c>
      <c r="AE71" s="54" t="s">
        <v>244</v>
      </c>
      <c r="AF71" s="53" t="s">
        <v>243</v>
      </c>
      <c r="AG71" s="54" t="s">
        <v>244</v>
      </c>
      <c r="AH71" s="53" t="s">
        <v>243</v>
      </c>
      <c r="AI71" s="54" t="s">
        <v>244</v>
      </c>
      <c r="AJ71" s="53" t="s">
        <v>243</v>
      </c>
      <c r="AK71" s="54" t="s">
        <v>244</v>
      </c>
      <c r="AL71" s="53" t="s">
        <v>243</v>
      </c>
      <c r="AM71" s="54" t="s">
        <v>244</v>
      </c>
      <c r="AN71" s="53" t="s">
        <v>243</v>
      </c>
      <c r="AO71" s="54" t="s">
        <v>244</v>
      </c>
      <c r="AP71" s="53" t="s">
        <v>243</v>
      </c>
      <c r="AQ71" s="54" t="s">
        <v>244</v>
      </c>
      <c r="AR71" s="53" t="s">
        <v>243</v>
      </c>
      <c r="AS71" s="54" t="s">
        <v>244</v>
      </c>
      <c r="AT71" s="53" t="s">
        <v>243</v>
      </c>
      <c r="AU71" s="54" t="s">
        <v>244</v>
      </c>
      <c r="AV71" s="53" t="s">
        <v>243</v>
      </c>
      <c r="AW71" s="54" t="s">
        <v>244</v>
      </c>
      <c r="AX71" s="53" t="s">
        <v>243</v>
      </c>
      <c r="AY71" s="54" t="s">
        <v>244</v>
      </c>
      <c r="AZ71" s="53" t="s">
        <v>243</v>
      </c>
      <c r="BA71" s="54" t="s">
        <v>244</v>
      </c>
      <c r="BB71" s="53" t="s">
        <v>243</v>
      </c>
      <c r="BC71" s="54" t="s">
        <v>244</v>
      </c>
      <c r="BD71" s="53" t="s">
        <v>243</v>
      </c>
      <c r="BE71" s="54" t="s">
        <v>244</v>
      </c>
      <c r="BF71" s="53" t="s">
        <v>243</v>
      </c>
      <c r="BG71" s="54" t="s">
        <v>244</v>
      </c>
      <c r="BH71" s="53" t="s">
        <v>243</v>
      </c>
      <c r="BI71" s="54" t="s">
        <v>244</v>
      </c>
      <c r="BJ71" s="53" t="s">
        <v>243</v>
      </c>
      <c r="BK71" s="54" t="s">
        <v>244</v>
      </c>
      <c r="BL71" s="105" t="s">
        <v>243</v>
      </c>
      <c r="BM71" s="106" t="s">
        <v>244</v>
      </c>
    </row>
    <row r="72" spans="1:65" x14ac:dyDescent="0.25">
      <c r="A72" s="24" t="s">
        <v>304</v>
      </c>
      <c r="B72" s="9"/>
      <c r="C72" s="9"/>
      <c r="D72" s="9"/>
      <c r="E72" s="9"/>
      <c r="F72" s="92">
        <v>726</v>
      </c>
      <c r="G72" s="92">
        <v>1421</v>
      </c>
      <c r="H72" s="76"/>
      <c r="I72" s="76"/>
      <c r="J72" s="76"/>
      <c r="K72" s="76"/>
      <c r="L72" s="9"/>
      <c r="M72" s="9"/>
      <c r="N72" s="9"/>
      <c r="O72" s="9"/>
      <c r="P72" s="76"/>
      <c r="Q72" s="76"/>
      <c r="R72" s="76"/>
      <c r="S72" s="76"/>
      <c r="T72" s="76"/>
      <c r="U72" s="76"/>
      <c r="V72" s="92">
        <v>271</v>
      </c>
      <c r="W72" s="92">
        <v>510</v>
      </c>
      <c r="X72" s="76"/>
      <c r="Y72" s="76"/>
      <c r="Z72" s="9"/>
      <c r="AA72" s="9"/>
      <c r="AB72" s="76"/>
      <c r="AC72" s="76"/>
      <c r="AD72" s="76"/>
      <c r="AE72" s="76"/>
      <c r="AF72" s="69"/>
      <c r="AG72" s="9"/>
      <c r="AH72" s="9"/>
      <c r="AI72" s="9"/>
      <c r="AJ72" s="9"/>
      <c r="AK72" s="9"/>
      <c r="AL72" s="9"/>
      <c r="AM72" s="9"/>
      <c r="AN72" s="76"/>
      <c r="AO72" s="76"/>
      <c r="AP72" s="9"/>
      <c r="AQ72" s="9"/>
      <c r="AR72" s="9"/>
      <c r="AS72" s="9"/>
      <c r="AT72" s="76"/>
      <c r="AU72" s="76"/>
      <c r="AV72" s="76"/>
      <c r="AW72" s="76"/>
      <c r="AX72" s="76"/>
      <c r="AY72" s="76"/>
      <c r="AZ72" s="9"/>
      <c r="BA72" s="9"/>
      <c r="BB72" s="92">
        <v>9</v>
      </c>
      <c r="BC72" s="92">
        <v>9</v>
      </c>
      <c r="BD72" s="76"/>
      <c r="BE72" s="76"/>
      <c r="BF72" s="92">
        <v>-4</v>
      </c>
      <c r="BG72" s="92">
        <v>-227</v>
      </c>
      <c r="BH72" s="9"/>
      <c r="BI72" s="9"/>
      <c r="BJ72" s="9"/>
      <c r="BK72" s="9"/>
      <c r="BL72" s="68">
        <f t="shared" ref="BL72:BL78" si="13">SUM(B72+D72+F72+H72+J72+L72+N72+P72+R72+T72+V72+X72+Z72+AB72+AD72+AF72+AH72+AJ72+AL72+AN72+AP72+AR72+AT72+AV72+AX72+AZ72+BB72+BD72+BF72+BH72+BJ72)</f>
        <v>1002</v>
      </c>
      <c r="BM72" s="68">
        <f t="shared" ref="BM72:BM78" si="14">SUM(C72+E72+G72+I72+K72+M72+O72+Q72+S72+U72+W72+Y72+AA72+AC72+AE72+AG72+AI72+AK72+AM72+AO72+AQ72+AS72+AU72+AW72+AY72+BA72+BC72+BE72+BG72+BI72+BK72)</f>
        <v>1713</v>
      </c>
    </row>
    <row r="73" spans="1:65" s="71" customFormat="1" x14ac:dyDescent="0.25">
      <c r="A73" s="24" t="s">
        <v>305</v>
      </c>
      <c r="B73" s="92"/>
      <c r="C73" s="92"/>
      <c r="D73" s="92"/>
      <c r="E73" s="92"/>
      <c r="F73" s="92">
        <v>0</v>
      </c>
      <c r="G73" s="92">
        <v>0</v>
      </c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69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>
        <v>0</v>
      </c>
      <c r="BG73" s="92"/>
      <c r="BH73" s="92"/>
      <c r="BI73" s="92"/>
      <c r="BJ73" s="92"/>
      <c r="BK73" s="92"/>
      <c r="BL73" s="68">
        <f t="shared" si="13"/>
        <v>0</v>
      </c>
      <c r="BM73" s="68">
        <f t="shared" si="14"/>
        <v>0</v>
      </c>
    </row>
    <row r="74" spans="1:65" s="71" customFormat="1" x14ac:dyDescent="0.25">
      <c r="A74" s="24" t="s">
        <v>306</v>
      </c>
      <c r="B74" s="92"/>
      <c r="C74" s="92"/>
      <c r="D74" s="92"/>
      <c r="E74" s="92"/>
      <c r="F74" s="92">
        <v>0</v>
      </c>
      <c r="G74" s="92">
        <v>0</v>
      </c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69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>
        <v>0</v>
      </c>
      <c r="BG74" s="92"/>
      <c r="BH74" s="92"/>
      <c r="BI74" s="92"/>
      <c r="BJ74" s="92"/>
      <c r="BK74" s="92"/>
      <c r="BL74" s="68">
        <f t="shared" si="13"/>
        <v>0</v>
      </c>
      <c r="BM74" s="68">
        <f t="shared" si="14"/>
        <v>0</v>
      </c>
    </row>
    <row r="75" spans="1:65" s="7" customFormat="1" x14ac:dyDescent="0.25">
      <c r="A75" s="10" t="s">
        <v>307</v>
      </c>
      <c r="B75" s="10"/>
      <c r="C75" s="10"/>
      <c r="D75" s="10"/>
      <c r="E75" s="10"/>
      <c r="F75" s="10">
        <v>726</v>
      </c>
      <c r="G75" s="10">
        <v>1421</v>
      </c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>
        <v>271</v>
      </c>
      <c r="W75" s="10">
        <v>510</v>
      </c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>
        <v>-430</v>
      </c>
      <c r="AM75" s="10">
        <v>-333</v>
      </c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>
        <v>9</v>
      </c>
      <c r="BC75" s="10">
        <v>9</v>
      </c>
      <c r="BD75" s="10">
        <v>365.09</v>
      </c>
      <c r="BE75" s="10">
        <v>370.96</v>
      </c>
      <c r="BF75" s="10">
        <v>-4</v>
      </c>
      <c r="BG75" s="10">
        <v>-277</v>
      </c>
      <c r="BH75" s="10">
        <v>423</v>
      </c>
      <c r="BI75" s="10">
        <v>426</v>
      </c>
      <c r="BJ75" s="10"/>
      <c r="BK75" s="10"/>
      <c r="BL75" s="63">
        <f t="shared" si="13"/>
        <v>1360.09</v>
      </c>
      <c r="BM75" s="63">
        <f t="shared" si="14"/>
        <v>2126.96</v>
      </c>
    </row>
    <row r="76" spans="1:65" x14ac:dyDescent="0.25">
      <c r="A76" s="24" t="s">
        <v>308</v>
      </c>
      <c r="B76" s="9"/>
      <c r="C76" s="9"/>
      <c r="D76" s="9"/>
      <c r="E76" s="9"/>
      <c r="F76" s="92">
        <v>0</v>
      </c>
      <c r="G76" s="92">
        <v>0</v>
      </c>
      <c r="H76" s="76"/>
      <c r="I76" s="76"/>
      <c r="J76" s="76"/>
      <c r="K76" s="76"/>
      <c r="L76" s="9"/>
      <c r="M76" s="9"/>
      <c r="N76" s="9"/>
      <c r="O76" s="9"/>
      <c r="P76" s="76"/>
      <c r="Q76" s="76"/>
      <c r="R76" s="76"/>
      <c r="S76" s="76"/>
      <c r="T76" s="92">
        <v>33</v>
      </c>
      <c r="U76" s="92">
        <v>42</v>
      </c>
      <c r="V76" s="92"/>
      <c r="W76" s="92"/>
      <c r="X76" s="76"/>
      <c r="Y76" s="76"/>
      <c r="Z76" s="9"/>
      <c r="AA76" s="9"/>
      <c r="AB76" s="76"/>
      <c r="AC76" s="76"/>
      <c r="AD76" s="76"/>
      <c r="AE76" s="76"/>
      <c r="AF76" s="69"/>
      <c r="AG76" s="9"/>
      <c r="AH76" s="9"/>
      <c r="AI76" s="9"/>
      <c r="AJ76" s="9"/>
      <c r="AK76" s="9"/>
      <c r="AL76" s="9"/>
      <c r="AM76" s="9"/>
      <c r="AN76" s="76"/>
      <c r="AO76" s="76"/>
      <c r="AP76" s="9"/>
      <c r="AQ76" s="9"/>
      <c r="AR76" s="9"/>
      <c r="AS76" s="9"/>
      <c r="AT76" s="76"/>
      <c r="AU76" s="76"/>
      <c r="AV76" s="76"/>
      <c r="AW76" s="76"/>
      <c r="AX76" s="76"/>
      <c r="AY76" s="76"/>
      <c r="AZ76" s="9"/>
      <c r="BA76" s="9"/>
      <c r="BB76" s="92"/>
      <c r="BC76" s="92"/>
      <c r="BD76" s="92">
        <v>43.71</v>
      </c>
      <c r="BE76" s="92">
        <v>43.71</v>
      </c>
      <c r="BF76" s="92">
        <v>26</v>
      </c>
      <c r="BG76" s="92">
        <v>26</v>
      </c>
      <c r="BH76" s="92">
        <v>0</v>
      </c>
      <c r="BI76" s="92">
        <v>0</v>
      </c>
      <c r="BJ76" s="9"/>
      <c r="BK76" s="9"/>
      <c r="BL76" s="68">
        <f t="shared" si="13"/>
        <v>102.71000000000001</v>
      </c>
      <c r="BM76" s="68">
        <f t="shared" si="14"/>
        <v>111.71000000000001</v>
      </c>
    </row>
    <row r="77" spans="1:65" x14ac:dyDescent="0.25">
      <c r="A77" s="24" t="s">
        <v>309</v>
      </c>
      <c r="B77" s="76"/>
      <c r="C77" s="76"/>
      <c r="D77" s="9"/>
      <c r="E77" s="9"/>
      <c r="F77" s="92">
        <v>15238</v>
      </c>
      <c r="G77" s="92">
        <v>15780</v>
      </c>
      <c r="H77" s="92">
        <v>-7827</v>
      </c>
      <c r="I77" s="92">
        <v>-7702</v>
      </c>
      <c r="J77" s="76"/>
      <c r="K77" s="76"/>
      <c r="L77" s="9"/>
      <c r="M77" s="9"/>
      <c r="N77" s="9"/>
      <c r="O77" s="9"/>
      <c r="P77" s="76"/>
      <c r="Q77" s="76"/>
      <c r="R77" s="92">
        <v>1409.93</v>
      </c>
      <c r="S77" s="92">
        <v>2718.38</v>
      </c>
      <c r="T77" s="92">
        <v>-38</v>
      </c>
      <c r="U77" s="92">
        <v>-41</v>
      </c>
      <c r="V77" s="92">
        <v>-7342</v>
      </c>
      <c r="W77" s="92">
        <v>-9544</v>
      </c>
      <c r="X77" s="92">
        <v>2622</v>
      </c>
      <c r="Y77" s="92">
        <v>2625</v>
      </c>
      <c r="Z77" s="92">
        <v>3066</v>
      </c>
      <c r="AA77" s="92">
        <v>3068</v>
      </c>
      <c r="AB77" s="76"/>
      <c r="AC77" s="76"/>
      <c r="AD77" s="76"/>
      <c r="AE77" s="76"/>
      <c r="AF77" s="69"/>
      <c r="AG77" s="9"/>
      <c r="AH77" s="9"/>
      <c r="AI77" s="9"/>
      <c r="AJ77" s="9"/>
      <c r="AK77" s="9"/>
      <c r="AL77" s="92">
        <v>46.42</v>
      </c>
      <c r="AM77" s="92">
        <v>46.42</v>
      </c>
      <c r="AN77" s="76"/>
      <c r="AO77" s="76"/>
      <c r="AP77" s="9"/>
      <c r="AQ77" s="9"/>
      <c r="AR77" s="9">
        <v>5123</v>
      </c>
      <c r="AS77" s="9">
        <v>7452</v>
      </c>
      <c r="AT77" s="76"/>
      <c r="AU77" s="76"/>
      <c r="AV77" s="92">
        <v>4617</v>
      </c>
      <c r="AW77" s="92">
        <v>4744</v>
      </c>
      <c r="AX77" s="76"/>
      <c r="AY77" s="76"/>
      <c r="AZ77" s="9"/>
      <c r="BA77" s="9"/>
      <c r="BB77" s="92">
        <v>25</v>
      </c>
      <c r="BC77" s="92">
        <v>29</v>
      </c>
      <c r="BD77" s="92">
        <v>204.27</v>
      </c>
      <c r="BE77" s="92">
        <v>206.81</v>
      </c>
      <c r="BF77" s="92">
        <v>-1279</v>
      </c>
      <c r="BG77" s="92">
        <v>-1321</v>
      </c>
      <c r="BH77" s="92">
        <v>-1137</v>
      </c>
      <c r="BI77" s="92">
        <v>-1137</v>
      </c>
      <c r="BJ77" s="92">
        <v>2334</v>
      </c>
      <c r="BK77" s="92">
        <v>2444</v>
      </c>
      <c r="BL77" s="68">
        <f t="shared" si="13"/>
        <v>17062.62</v>
      </c>
      <c r="BM77" s="68">
        <f t="shared" si="14"/>
        <v>19368.610000000004</v>
      </c>
    </row>
    <row r="78" spans="1:65" s="7" customFormat="1" x14ac:dyDescent="0.25">
      <c r="A78" s="10" t="s">
        <v>190</v>
      </c>
      <c r="B78" s="10"/>
      <c r="C78" s="10"/>
      <c r="D78" s="10"/>
      <c r="E78" s="10"/>
      <c r="F78" s="10">
        <v>-14512</v>
      </c>
      <c r="G78" s="10">
        <v>-14359</v>
      </c>
      <c r="H78" s="10">
        <v>-7827</v>
      </c>
      <c r="I78" s="10">
        <v>-7702</v>
      </c>
      <c r="J78" s="10"/>
      <c r="K78" s="10"/>
      <c r="L78" s="10"/>
      <c r="M78" s="10"/>
      <c r="N78" s="10"/>
      <c r="O78" s="10"/>
      <c r="P78" s="10"/>
      <c r="Q78" s="10"/>
      <c r="R78" s="10">
        <v>-1409.93</v>
      </c>
      <c r="S78" s="10">
        <v>-2718.38</v>
      </c>
      <c r="T78" s="10">
        <v>-5</v>
      </c>
      <c r="U78" s="10">
        <v>0</v>
      </c>
      <c r="V78" s="10">
        <v>-7071</v>
      </c>
      <c r="W78" s="10">
        <v>-9034</v>
      </c>
      <c r="X78" s="10">
        <v>-2622</v>
      </c>
      <c r="Y78" s="10">
        <v>-2625</v>
      </c>
      <c r="Z78" s="10">
        <v>-3066</v>
      </c>
      <c r="AA78" s="10">
        <v>-3068</v>
      </c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>
        <v>-476.47</v>
      </c>
      <c r="AM78" s="10">
        <v>-379.18</v>
      </c>
      <c r="AN78" s="10"/>
      <c r="AO78" s="10"/>
      <c r="AP78" s="10"/>
      <c r="AQ78" s="10"/>
      <c r="AR78" s="10">
        <v>-5123</v>
      </c>
      <c r="AS78" s="10">
        <v>-7452</v>
      </c>
      <c r="AT78" s="10"/>
      <c r="AU78" s="10"/>
      <c r="AV78" s="10">
        <v>-4617</v>
      </c>
      <c r="AW78" s="10">
        <v>-4744</v>
      </c>
      <c r="AX78" s="10"/>
      <c r="AY78" s="10"/>
      <c r="AZ78" s="10"/>
      <c r="BA78" s="10"/>
      <c r="BB78" s="10">
        <v>-17</v>
      </c>
      <c r="BC78" s="10">
        <v>-20</v>
      </c>
      <c r="BD78" s="10">
        <v>204.52</v>
      </c>
      <c r="BE78" s="10">
        <v>207.86</v>
      </c>
      <c r="BF78" s="10">
        <v>1301</v>
      </c>
      <c r="BG78" s="10">
        <v>1069</v>
      </c>
      <c r="BH78" s="10">
        <v>1560</v>
      </c>
      <c r="BI78" s="10">
        <v>1563</v>
      </c>
      <c r="BJ78" s="10">
        <v>-2334</v>
      </c>
      <c r="BK78" s="10">
        <v>-2444</v>
      </c>
      <c r="BL78" s="63">
        <f t="shared" si="13"/>
        <v>-46014.880000000005</v>
      </c>
      <c r="BM78" s="63">
        <f t="shared" si="14"/>
        <v>-51705.700000000004</v>
      </c>
    </row>
    <row r="79" spans="1:65" x14ac:dyDescent="0.25">
      <c r="A79" s="25"/>
    </row>
    <row r="80" spans="1:65" x14ac:dyDescent="0.25">
      <c r="A80" s="26" t="s">
        <v>188</v>
      </c>
    </row>
    <row r="81" spans="1:65" x14ac:dyDescent="0.25">
      <c r="A81" s="3" t="s">
        <v>0</v>
      </c>
      <c r="B81" s="147" t="s">
        <v>1</v>
      </c>
      <c r="C81" s="148"/>
      <c r="D81" s="147" t="s">
        <v>233</v>
      </c>
      <c r="E81" s="148"/>
      <c r="F81" s="147" t="s">
        <v>2</v>
      </c>
      <c r="G81" s="148"/>
      <c r="H81" s="147" t="s">
        <v>3</v>
      </c>
      <c r="I81" s="148"/>
      <c r="J81" s="147" t="s">
        <v>242</v>
      </c>
      <c r="K81" s="148"/>
      <c r="L81" s="147" t="s">
        <v>234</v>
      </c>
      <c r="M81" s="148"/>
      <c r="N81" s="147" t="s">
        <v>5</v>
      </c>
      <c r="O81" s="148"/>
      <c r="P81" s="147" t="s">
        <v>4</v>
      </c>
      <c r="Q81" s="148"/>
      <c r="R81" s="147" t="s">
        <v>6</v>
      </c>
      <c r="S81" s="148"/>
      <c r="T81" s="147" t="s">
        <v>254</v>
      </c>
      <c r="U81" s="148"/>
      <c r="V81" s="147" t="s">
        <v>7</v>
      </c>
      <c r="W81" s="148"/>
      <c r="X81" s="147" t="s">
        <v>8</v>
      </c>
      <c r="Y81" s="148"/>
      <c r="Z81" s="147" t="s">
        <v>9</v>
      </c>
      <c r="AA81" s="148"/>
      <c r="AB81" s="147" t="s">
        <v>241</v>
      </c>
      <c r="AC81" s="148"/>
      <c r="AD81" s="147" t="s">
        <v>10</v>
      </c>
      <c r="AE81" s="148"/>
      <c r="AF81" s="147" t="s">
        <v>11</v>
      </c>
      <c r="AG81" s="148"/>
      <c r="AH81" s="147" t="s">
        <v>235</v>
      </c>
      <c r="AI81" s="148"/>
      <c r="AJ81" s="147" t="s">
        <v>253</v>
      </c>
      <c r="AK81" s="148"/>
      <c r="AL81" s="147" t="s">
        <v>12</v>
      </c>
      <c r="AM81" s="148"/>
      <c r="AN81" s="147" t="s">
        <v>236</v>
      </c>
      <c r="AO81" s="148"/>
      <c r="AP81" s="147" t="s">
        <v>237</v>
      </c>
      <c r="AQ81" s="148"/>
      <c r="AR81" s="147" t="s">
        <v>240</v>
      </c>
      <c r="AS81" s="148"/>
      <c r="AT81" s="147" t="s">
        <v>13</v>
      </c>
      <c r="AU81" s="148"/>
      <c r="AV81" s="147" t="s">
        <v>14</v>
      </c>
      <c r="AW81" s="148"/>
      <c r="AX81" s="147" t="s">
        <v>15</v>
      </c>
      <c r="AY81" s="148"/>
      <c r="AZ81" s="147" t="s">
        <v>16</v>
      </c>
      <c r="BA81" s="148"/>
      <c r="BB81" s="147" t="s">
        <v>17</v>
      </c>
      <c r="BC81" s="148"/>
      <c r="BD81" s="147" t="s">
        <v>238</v>
      </c>
      <c r="BE81" s="148"/>
      <c r="BF81" s="147" t="s">
        <v>239</v>
      </c>
      <c r="BG81" s="148"/>
      <c r="BH81" s="147" t="s">
        <v>18</v>
      </c>
      <c r="BI81" s="148"/>
      <c r="BJ81" s="147" t="s">
        <v>19</v>
      </c>
      <c r="BK81" s="148"/>
      <c r="BL81" s="149" t="s">
        <v>20</v>
      </c>
      <c r="BM81" s="150"/>
    </row>
    <row r="82" spans="1:65" ht="30" x14ac:dyDescent="0.25">
      <c r="A82" s="3"/>
      <c r="B82" s="53" t="s">
        <v>243</v>
      </c>
      <c r="C82" s="54" t="s">
        <v>244</v>
      </c>
      <c r="D82" s="53" t="s">
        <v>243</v>
      </c>
      <c r="E82" s="54" t="s">
        <v>244</v>
      </c>
      <c r="F82" s="53" t="s">
        <v>243</v>
      </c>
      <c r="G82" s="54" t="s">
        <v>244</v>
      </c>
      <c r="H82" s="53" t="s">
        <v>243</v>
      </c>
      <c r="I82" s="54" t="s">
        <v>244</v>
      </c>
      <c r="J82" s="53" t="s">
        <v>243</v>
      </c>
      <c r="K82" s="54" t="s">
        <v>244</v>
      </c>
      <c r="L82" s="53" t="s">
        <v>243</v>
      </c>
      <c r="M82" s="54" t="s">
        <v>244</v>
      </c>
      <c r="N82" s="53" t="s">
        <v>243</v>
      </c>
      <c r="O82" s="54" t="s">
        <v>244</v>
      </c>
      <c r="P82" s="53" t="s">
        <v>243</v>
      </c>
      <c r="Q82" s="54" t="s">
        <v>244</v>
      </c>
      <c r="R82" s="53" t="s">
        <v>243</v>
      </c>
      <c r="S82" s="54" t="s">
        <v>244</v>
      </c>
      <c r="T82" s="53" t="s">
        <v>243</v>
      </c>
      <c r="U82" s="54" t="s">
        <v>244</v>
      </c>
      <c r="V82" s="53" t="s">
        <v>243</v>
      </c>
      <c r="W82" s="54" t="s">
        <v>244</v>
      </c>
      <c r="X82" s="53" t="s">
        <v>243</v>
      </c>
      <c r="Y82" s="54" t="s">
        <v>244</v>
      </c>
      <c r="Z82" s="53" t="s">
        <v>243</v>
      </c>
      <c r="AA82" s="54" t="s">
        <v>244</v>
      </c>
      <c r="AB82" s="53" t="s">
        <v>243</v>
      </c>
      <c r="AC82" s="54" t="s">
        <v>244</v>
      </c>
      <c r="AD82" s="53" t="s">
        <v>243</v>
      </c>
      <c r="AE82" s="54" t="s">
        <v>244</v>
      </c>
      <c r="AF82" s="53" t="s">
        <v>243</v>
      </c>
      <c r="AG82" s="54" t="s">
        <v>244</v>
      </c>
      <c r="AH82" s="53" t="s">
        <v>243</v>
      </c>
      <c r="AI82" s="54" t="s">
        <v>244</v>
      </c>
      <c r="AJ82" s="53" t="s">
        <v>243</v>
      </c>
      <c r="AK82" s="54" t="s">
        <v>244</v>
      </c>
      <c r="AL82" s="53" t="s">
        <v>243</v>
      </c>
      <c r="AM82" s="54" t="s">
        <v>244</v>
      </c>
      <c r="AN82" s="53" t="s">
        <v>243</v>
      </c>
      <c r="AO82" s="54" t="s">
        <v>244</v>
      </c>
      <c r="AP82" s="53" t="s">
        <v>243</v>
      </c>
      <c r="AQ82" s="54" t="s">
        <v>244</v>
      </c>
      <c r="AR82" s="53" t="s">
        <v>243</v>
      </c>
      <c r="AS82" s="54" t="s">
        <v>244</v>
      </c>
      <c r="AT82" s="53" t="s">
        <v>243</v>
      </c>
      <c r="AU82" s="54" t="s">
        <v>244</v>
      </c>
      <c r="AV82" s="53" t="s">
        <v>243</v>
      </c>
      <c r="AW82" s="54" t="s">
        <v>244</v>
      </c>
      <c r="AX82" s="53" t="s">
        <v>243</v>
      </c>
      <c r="AY82" s="54" t="s">
        <v>244</v>
      </c>
      <c r="AZ82" s="53" t="s">
        <v>243</v>
      </c>
      <c r="BA82" s="54" t="s">
        <v>244</v>
      </c>
      <c r="BB82" s="53" t="s">
        <v>243</v>
      </c>
      <c r="BC82" s="54" t="s">
        <v>244</v>
      </c>
      <c r="BD82" s="53" t="s">
        <v>243</v>
      </c>
      <c r="BE82" s="54" t="s">
        <v>244</v>
      </c>
      <c r="BF82" s="53" t="s">
        <v>243</v>
      </c>
      <c r="BG82" s="54" t="s">
        <v>244</v>
      </c>
      <c r="BH82" s="53" t="s">
        <v>243</v>
      </c>
      <c r="BI82" s="54" t="s">
        <v>244</v>
      </c>
      <c r="BJ82" s="53" t="s">
        <v>243</v>
      </c>
      <c r="BK82" s="54" t="s">
        <v>244</v>
      </c>
      <c r="BL82" s="105" t="s">
        <v>243</v>
      </c>
      <c r="BM82" s="106" t="s">
        <v>244</v>
      </c>
    </row>
    <row r="83" spans="1:65" x14ac:dyDescent="0.25">
      <c r="A83" s="24" t="s">
        <v>304</v>
      </c>
      <c r="B83" s="9"/>
      <c r="C83" s="9"/>
      <c r="D83" s="9"/>
      <c r="E83" s="9"/>
      <c r="F83" s="9"/>
      <c r="G83" s="9"/>
      <c r="H83" s="76"/>
      <c r="I83" s="76"/>
      <c r="J83" s="9"/>
      <c r="K83" s="9"/>
      <c r="L83" s="9"/>
      <c r="M83" s="9"/>
      <c r="N83" s="9"/>
      <c r="O83" s="9"/>
      <c r="P83" s="76"/>
      <c r="Q83" s="76"/>
      <c r="R83" s="92">
        <v>0.04</v>
      </c>
      <c r="S83" s="92">
        <v>0.2</v>
      </c>
      <c r="T83" s="76"/>
      <c r="U83" s="76"/>
      <c r="V83" s="92">
        <v>2</v>
      </c>
      <c r="W83" s="92">
        <v>2</v>
      </c>
      <c r="X83" s="92">
        <v>35</v>
      </c>
      <c r="Y83" s="92">
        <v>84</v>
      </c>
      <c r="Z83" s="9"/>
      <c r="AA83" s="9"/>
      <c r="AB83" s="9"/>
      <c r="AC83" s="9"/>
      <c r="AD83" s="9"/>
      <c r="AE83" s="9"/>
      <c r="AF83" s="10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>
        <v>-17</v>
      </c>
      <c r="AS83" s="9">
        <v>34</v>
      </c>
      <c r="AT83" s="9"/>
      <c r="AU83" s="9"/>
      <c r="AV83" s="92">
        <v>1</v>
      </c>
      <c r="AW83" s="92">
        <v>1</v>
      </c>
      <c r="AX83" s="9"/>
      <c r="AY83" s="9"/>
      <c r="AZ83" s="9"/>
      <c r="BA83" s="9"/>
      <c r="BB83" s="9"/>
      <c r="BC83" s="9"/>
      <c r="BD83" s="76"/>
      <c r="BE83" s="76"/>
      <c r="BF83" s="92">
        <v>47</v>
      </c>
      <c r="BG83" s="92">
        <v>83</v>
      </c>
      <c r="BH83" s="9"/>
      <c r="BI83" s="9"/>
      <c r="BJ83" s="9"/>
      <c r="BK83" s="9"/>
      <c r="BL83" s="68">
        <f t="shared" ref="BL83:BL89" si="15">SUM(B83+D83+F83+H83+J83+L83+N83+P83+R83+T83+V83+X83+Z83+AB83+AD83+AF83+AH83+AJ83+AL83+AN83+AP83+AR83+AT83+AV83+AX83+AZ83+BB83+BD83+BF83+BH83+BJ83)</f>
        <v>68.039999999999992</v>
      </c>
      <c r="BM83" s="68">
        <f t="shared" ref="BM83:BM89" si="16">SUM(C83+E83+G83+I83+K83+M83+O83+Q83+S83+U83+W83+Y83+AA83+AC83+AE83+AG83+AI83+AK83+AM83+AO83+AQ83+AS83+AU83+AW83+AY83+BA83+BC83+BE83+BG83+BI83+BK83)</f>
        <v>204.2</v>
      </c>
    </row>
    <row r="84" spans="1:65" s="71" customFormat="1" x14ac:dyDescent="0.25">
      <c r="A84" s="24" t="s">
        <v>305</v>
      </c>
      <c r="B84" s="92"/>
      <c r="C84" s="92"/>
      <c r="D84" s="92"/>
      <c r="E84" s="92"/>
      <c r="F84" s="92"/>
      <c r="G84" s="92"/>
      <c r="H84" s="92">
        <v>0</v>
      </c>
      <c r="I84" s="92">
        <v>5</v>
      </c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>
        <v>-1</v>
      </c>
      <c r="Z84" s="92"/>
      <c r="AA84" s="92"/>
      <c r="AB84" s="92"/>
      <c r="AC84" s="92"/>
      <c r="AD84" s="92"/>
      <c r="AE84" s="92"/>
      <c r="AF84" s="10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92"/>
      <c r="AR84" s="92"/>
      <c r="AS84" s="92"/>
      <c r="AT84" s="92"/>
      <c r="AU84" s="92"/>
      <c r="AV84" s="92"/>
      <c r="AW84" s="92"/>
      <c r="AX84" s="92"/>
      <c r="AY84" s="92"/>
      <c r="AZ84" s="92"/>
      <c r="BA84" s="92"/>
      <c r="BB84" s="92"/>
      <c r="BC84" s="92"/>
      <c r="BD84" s="92"/>
      <c r="BE84" s="92"/>
      <c r="BF84" s="92">
        <v>0</v>
      </c>
      <c r="BG84" s="92"/>
      <c r="BH84" s="92"/>
      <c r="BI84" s="92"/>
      <c r="BJ84" s="92"/>
      <c r="BK84" s="92"/>
      <c r="BL84" s="68">
        <f t="shared" si="15"/>
        <v>0</v>
      </c>
      <c r="BM84" s="68">
        <f t="shared" si="16"/>
        <v>4</v>
      </c>
    </row>
    <row r="85" spans="1:65" s="71" customFormat="1" x14ac:dyDescent="0.25">
      <c r="A85" s="24" t="s">
        <v>306</v>
      </c>
      <c r="B85" s="92"/>
      <c r="C85" s="92"/>
      <c r="D85" s="92"/>
      <c r="E85" s="92"/>
      <c r="F85" s="92"/>
      <c r="G85" s="92"/>
      <c r="H85" s="92">
        <v>31</v>
      </c>
      <c r="I85" s="92">
        <v>78</v>
      </c>
      <c r="J85" s="92"/>
      <c r="K85" s="92"/>
      <c r="L85" s="92"/>
      <c r="M85" s="92"/>
      <c r="N85" s="92"/>
      <c r="O85" s="92"/>
      <c r="P85" s="92"/>
      <c r="Q85" s="92"/>
      <c r="R85" s="92">
        <v>-0.51</v>
      </c>
      <c r="S85" s="92">
        <v>0.06</v>
      </c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10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92"/>
      <c r="AR85" s="92"/>
      <c r="AS85" s="92"/>
      <c r="AT85" s="92"/>
      <c r="AU85" s="92"/>
      <c r="AV85" s="92"/>
      <c r="AW85" s="92"/>
      <c r="AX85" s="92"/>
      <c r="AY85" s="92"/>
      <c r="AZ85" s="92"/>
      <c r="BA85" s="92"/>
      <c r="BB85" s="92"/>
      <c r="BC85" s="92"/>
      <c r="BD85" s="92"/>
      <c r="BE85" s="92"/>
      <c r="BF85" s="92">
        <v>0</v>
      </c>
      <c r="BG85" s="92"/>
      <c r="BH85" s="92"/>
      <c r="BI85" s="92"/>
      <c r="BJ85" s="92"/>
      <c r="BK85" s="92"/>
      <c r="BL85" s="68">
        <f t="shared" si="15"/>
        <v>30.49</v>
      </c>
      <c r="BM85" s="68">
        <f t="shared" si="16"/>
        <v>78.06</v>
      </c>
    </row>
    <row r="86" spans="1:65" s="7" customFormat="1" x14ac:dyDescent="0.25">
      <c r="A86" s="10" t="s">
        <v>307</v>
      </c>
      <c r="B86" s="10"/>
      <c r="C86" s="10"/>
      <c r="D86" s="10"/>
      <c r="E86" s="10"/>
      <c r="F86" s="10"/>
      <c r="G86" s="10"/>
      <c r="H86" s="10">
        <v>31</v>
      </c>
      <c r="I86" s="10">
        <v>83</v>
      </c>
      <c r="J86" s="10"/>
      <c r="K86" s="10"/>
      <c r="L86" s="10"/>
      <c r="M86" s="10"/>
      <c r="N86" s="10"/>
      <c r="O86" s="10"/>
      <c r="P86" s="10"/>
      <c r="Q86" s="10"/>
      <c r="R86" s="10">
        <v>-0.47</v>
      </c>
      <c r="S86" s="10">
        <v>0.26</v>
      </c>
      <c r="T86" s="10"/>
      <c r="U86" s="10"/>
      <c r="V86" s="10">
        <v>2</v>
      </c>
      <c r="W86" s="10">
        <v>2</v>
      </c>
      <c r="X86" s="10">
        <v>35</v>
      </c>
      <c r="Y86" s="10">
        <v>83</v>
      </c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>
        <v>30</v>
      </c>
      <c r="AM86" s="10">
        <v>51</v>
      </c>
      <c r="AN86" s="10"/>
      <c r="AO86" s="10"/>
      <c r="AP86" s="10"/>
      <c r="AQ86" s="10"/>
      <c r="AR86" s="10">
        <v>-17</v>
      </c>
      <c r="AS86" s="10">
        <v>34</v>
      </c>
      <c r="AT86" s="10"/>
      <c r="AU86" s="10"/>
      <c r="AV86" s="10">
        <v>1</v>
      </c>
      <c r="AW86" s="10">
        <v>1</v>
      </c>
      <c r="AX86" s="10"/>
      <c r="AY86" s="10"/>
      <c r="AZ86" s="10"/>
      <c r="BA86" s="10"/>
      <c r="BB86" s="10"/>
      <c r="BC86" s="10"/>
      <c r="BD86" s="10">
        <v>57.54</v>
      </c>
      <c r="BE86" s="10">
        <v>220.47</v>
      </c>
      <c r="BF86" s="10">
        <v>47</v>
      </c>
      <c r="BG86" s="10">
        <v>83</v>
      </c>
      <c r="BH86" s="10">
        <v>34</v>
      </c>
      <c r="BI86" s="10">
        <v>61</v>
      </c>
      <c r="BJ86" s="10"/>
      <c r="BK86" s="10"/>
      <c r="BL86" s="63">
        <f t="shared" si="15"/>
        <v>220.07</v>
      </c>
      <c r="BM86" s="63">
        <f t="shared" si="16"/>
        <v>618.73</v>
      </c>
    </row>
    <row r="87" spans="1:65" x14ac:dyDescent="0.25">
      <c r="A87" s="24" t="s">
        <v>308</v>
      </c>
      <c r="B87" s="9"/>
      <c r="C87" s="9"/>
      <c r="D87" s="9"/>
      <c r="E87" s="9"/>
      <c r="F87" s="9"/>
      <c r="G87" s="9"/>
      <c r="H87" s="92"/>
      <c r="I87" s="92"/>
      <c r="J87" s="9"/>
      <c r="K87" s="9"/>
      <c r="L87" s="9"/>
      <c r="M87" s="9"/>
      <c r="N87" s="9"/>
      <c r="O87" s="9"/>
      <c r="P87" s="76"/>
      <c r="Q87" s="76"/>
      <c r="R87" s="92"/>
      <c r="S87" s="92"/>
      <c r="T87" s="76"/>
      <c r="U87" s="76"/>
      <c r="V87" s="92"/>
      <c r="W87" s="92"/>
      <c r="X87" s="92">
        <v>2</v>
      </c>
      <c r="Y87" s="92">
        <v>29</v>
      </c>
      <c r="Z87" s="9"/>
      <c r="AA87" s="9"/>
      <c r="AB87" s="9"/>
      <c r="AC87" s="9"/>
      <c r="AD87" s="9"/>
      <c r="AE87" s="9"/>
      <c r="AF87" s="10"/>
      <c r="AG87" s="9"/>
      <c r="AH87" s="9"/>
      <c r="AI87" s="9"/>
      <c r="AJ87" s="9"/>
      <c r="AK87" s="9"/>
      <c r="AL87" s="92">
        <v>105</v>
      </c>
      <c r="AM87" s="92">
        <v>238.43</v>
      </c>
      <c r="AN87" s="9"/>
      <c r="AO87" s="9"/>
      <c r="AP87" s="9"/>
      <c r="AQ87" s="9"/>
      <c r="AR87" s="9"/>
      <c r="AS87" s="9"/>
      <c r="AT87" s="9"/>
      <c r="AU87" s="9"/>
      <c r="AV87" s="92"/>
      <c r="AW87" s="92"/>
      <c r="AX87" s="9"/>
      <c r="AY87" s="9"/>
      <c r="AZ87" s="9"/>
      <c r="BA87" s="9"/>
      <c r="BB87" s="9"/>
      <c r="BC87" s="9"/>
      <c r="BD87" s="92">
        <v>137.82</v>
      </c>
      <c r="BE87" s="92">
        <v>335.51</v>
      </c>
      <c r="BF87" s="92">
        <v>-224</v>
      </c>
      <c r="BG87" s="92">
        <v>486</v>
      </c>
      <c r="BH87" s="92">
        <v>67</v>
      </c>
      <c r="BI87" s="92">
        <v>176</v>
      </c>
      <c r="BJ87" s="9"/>
      <c r="BK87" s="9"/>
      <c r="BL87" s="68">
        <f t="shared" si="15"/>
        <v>87.82</v>
      </c>
      <c r="BM87" s="68">
        <f t="shared" si="16"/>
        <v>1264.94</v>
      </c>
    </row>
    <row r="88" spans="1:65" x14ac:dyDescent="0.25">
      <c r="A88" s="24" t="s">
        <v>309</v>
      </c>
      <c r="B88" s="9"/>
      <c r="C88" s="9"/>
      <c r="D88" s="9"/>
      <c r="E88" s="9"/>
      <c r="F88" s="9"/>
      <c r="G88" s="9"/>
      <c r="H88" s="92">
        <v>-11</v>
      </c>
      <c r="I88" s="92">
        <v>-31</v>
      </c>
      <c r="J88" s="9"/>
      <c r="K88" s="9"/>
      <c r="L88" s="9"/>
      <c r="M88" s="9"/>
      <c r="N88" s="9"/>
      <c r="O88" s="9"/>
      <c r="P88" s="76"/>
      <c r="Q88" s="76"/>
      <c r="R88" s="92">
        <v>0.02</v>
      </c>
      <c r="S88" s="92">
        <v>0.08</v>
      </c>
      <c r="T88" s="76"/>
      <c r="U88" s="76"/>
      <c r="V88" s="92">
        <v>-8</v>
      </c>
      <c r="W88" s="92">
        <v>-22</v>
      </c>
      <c r="X88" s="92">
        <v>47</v>
      </c>
      <c r="Y88" s="92">
        <v>71</v>
      </c>
      <c r="Z88" s="9"/>
      <c r="AA88" s="9"/>
      <c r="AB88" s="9"/>
      <c r="AC88" s="9"/>
      <c r="AD88" s="9"/>
      <c r="AE88" s="9"/>
      <c r="AF88" s="10"/>
      <c r="AG88" s="9"/>
      <c r="AH88" s="9"/>
      <c r="AI88" s="9"/>
      <c r="AJ88" s="9"/>
      <c r="AK88" s="9"/>
      <c r="AL88" s="92">
        <v>21.02</v>
      </c>
      <c r="AM88" s="92">
        <v>44.04</v>
      </c>
      <c r="AN88" s="9"/>
      <c r="AO88" s="9"/>
      <c r="AP88" s="9"/>
      <c r="AQ88" s="9"/>
      <c r="AR88" s="9">
        <v>14</v>
      </c>
      <c r="AS88" s="9">
        <v>127</v>
      </c>
      <c r="AT88" s="9"/>
      <c r="AU88" s="9"/>
      <c r="AV88" s="92"/>
      <c r="AW88" s="92"/>
      <c r="AX88" s="9"/>
      <c r="AY88" s="9"/>
      <c r="AZ88" s="9"/>
      <c r="BA88" s="9"/>
      <c r="BB88" s="92"/>
      <c r="BC88" s="92"/>
      <c r="BD88" s="92">
        <v>73.78</v>
      </c>
      <c r="BE88" s="92">
        <v>343.8</v>
      </c>
      <c r="BF88" s="92">
        <v>186</v>
      </c>
      <c r="BG88" s="92">
        <v>229</v>
      </c>
      <c r="BH88" s="92">
        <v>81</v>
      </c>
      <c r="BI88" s="92">
        <v>163</v>
      </c>
      <c r="BJ88" s="9"/>
      <c r="BK88" s="9"/>
      <c r="BL88" s="68">
        <f t="shared" si="15"/>
        <v>403.82</v>
      </c>
      <c r="BM88" s="68">
        <f t="shared" si="16"/>
        <v>924.92000000000007</v>
      </c>
    </row>
    <row r="89" spans="1:65" s="7" customFormat="1" x14ac:dyDescent="0.25">
      <c r="A89" s="10" t="s">
        <v>190</v>
      </c>
      <c r="B89" s="10"/>
      <c r="C89" s="10"/>
      <c r="D89" s="10"/>
      <c r="E89" s="10"/>
      <c r="F89" s="10"/>
      <c r="G89" s="10"/>
      <c r="H89" s="10">
        <v>20</v>
      </c>
      <c r="I89" s="10">
        <v>52</v>
      </c>
      <c r="J89" s="10"/>
      <c r="K89" s="10"/>
      <c r="L89" s="10"/>
      <c r="M89" s="10"/>
      <c r="N89" s="10"/>
      <c r="O89" s="10"/>
      <c r="P89" s="10"/>
      <c r="Q89" s="10"/>
      <c r="R89" s="10">
        <v>-0.5</v>
      </c>
      <c r="S89" s="10">
        <v>0.18</v>
      </c>
      <c r="T89" s="10"/>
      <c r="U89" s="10"/>
      <c r="V89" s="10">
        <v>-7</v>
      </c>
      <c r="W89" s="10">
        <v>-21</v>
      </c>
      <c r="X89" s="10">
        <v>-10</v>
      </c>
      <c r="Y89" s="10">
        <v>41</v>
      </c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>
        <v>114.35</v>
      </c>
      <c r="AM89" s="10">
        <v>245.22</v>
      </c>
      <c r="AN89" s="10"/>
      <c r="AO89" s="10"/>
      <c r="AP89" s="10"/>
      <c r="AQ89" s="10"/>
      <c r="AR89" s="10">
        <v>-32</v>
      </c>
      <c r="AS89" s="10">
        <v>-93</v>
      </c>
      <c r="AT89" s="10"/>
      <c r="AU89" s="10"/>
      <c r="AV89" s="10">
        <v>1</v>
      </c>
      <c r="AW89" s="10">
        <v>1</v>
      </c>
      <c r="AX89" s="10"/>
      <c r="AY89" s="10"/>
      <c r="AZ89" s="10"/>
      <c r="BA89" s="10"/>
      <c r="BB89" s="10"/>
      <c r="BC89" s="10"/>
      <c r="BD89" s="10">
        <v>121.58</v>
      </c>
      <c r="BE89" s="10">
        <v>212.17</v>
      </c>
      <c r="BF89" s="10">
        <v>-363</v>
      </c>
      <c r="BG89" s="10">
        <v>340</v>
      </c>
      <c r="BH89" s="10">
        <v>19</v>
      </c>
      <c r="BI89" s="10">
        <v>74</v>
      </c>
      <c r="BJ89" s="10"/>
      <c r="BK89" s="10"/>
      <c r="BL89" s="63">
        <f t="shared" si="15"/>
        <v>-136.57</v>
      </c>
      <c r="BM89" s="63">
        <f t="shared" si="16"/>
        <v>851.56999999999994</v>
      </c>
    </row>
    <row r="90" spans="1:65" x14ac:dyDescent="0.25">
      <c r="A90" s="22"/>
    </row>
    <row r="91" spans="1:65" x14ac:dyDescent="0.25">
      <c r="A91" s="23" t="s">
        <v>189</v>
      </c>
    </row>
    <row r="92" spans="1:65" x14ac:dyDescent="0.25">
      <c r="A92" s="3" t="s">
        <v>0</v>
      </c>
      <c r="B92" s="147" t="s">
        <v>1</v>
      </c>
      <c r="C92" s="148"/>
      <c r="D92" s="147" t="s">
        <v>233</v>
      </c>
      <c r="E92" s="148"/>
      <c r="F92" s="147" t="s">
        <v>2</v>
      </c>
      <c r="G92" s="148"/>
      <c r="H92" s="147" t="s">
        <v>3</v>
      </c>
      <c r="I92" s="148"/>
      <c r="J92" s="147" t="s">
        <v>242</v>
      </c>
      <c r="K92" s="148"/>
      <c r="L92" s="147" t="s">
        <v>234</v>
      </c>
      <c r="M92" s="148"/>
      <c r="N92" s="147" t="s">
        <v>5</v>
      </c>
      <c r="O92" s="148"/>
      <c r="P92" s="147" t="s">
        <v>4</v>
      </c>
      <c r="Q92" s="148"/>
      <c r="R92" s="147" t="s">
        <v>6</v>
      </c>
      <c r="S92" s="148"/>
      <c r="T92" s="147" t="s">
        <v>254</v>
      </c>
      <c r="U92" s="148"/>
      <c r="V92" s="147" t="s">
        <v>7</v>
      </c>
      <c r="W92" s="148"/>
      <c r="X92" s="147" t="s">
        <v>8</v>
      </c>
      <c r="Y92" s="148"/>
      <c r="Z92" s="147" t="s">
        <v>9</v>
      </c>
      <c r="AA92" s="148"/>
      <c r="AB92" s="147" t="s">
        <v>241</v>
      </c>
      <c r="AC92" s="148"/>
      <c r="AD92" s="147" t="s">
        <v>10</v>
      </c>
      <c r="AE92" s="148"/>
      <c r="AF92" s="147" t="s">
        <v>11</v>
      </c>
      <c r="AG92" s="148"/>
      <c r="AH92" s="147" t="s">
        <v>235</v>
      </c>
      <c r="AI92" s="148"/>
      <c r="AJ92" s="147" t="s">
        <v>253</v>
      </c>
      <c r="AK92" s="148"/>
      <c r="AL92" s="147" t="s">
        <v>12</v>
      </c>
      <c r="AM92" s="148"/>
      <c r="AN92" s="147" t="s">
        <v>236</v>
      </c>
      <c r="AO92" s="148"/>
      <c r="AP92" s="147" t="s">
        <v>237</v>
      </c>
      <c r="AQ92" s="148"/>
      <c r="AR92" s="147" t="s">
        <v>240</v>
      </c>
      <c r="AS92" s="148"/>
      <c r="AT92" s="147" t="s">
        <v>13</v>
      </c>
      <c r="AU92" s="148"/>
      <c r="AV92" s="147" t="s">
        <v>14</v>
      </c>
      <c r="AW92" s="148"/>
      <c r="AX92" s="147" t="s">
        <v>15</v>
      </c>
      <c r="AY92" s="148"/>
      <c r="AZ92" s="147" t="s">
        <v>16</v>
      </c>
      <c r="BA92" s="148"/>
      <c r="BB92" s="147" t="s">
        <v>17</v>
      </c>
      <c r="BC92" s="148"/>
      <c r="BD92" s="147" t="s">
        <v>238</v>
      </c>
      <c r="BE92" s="148"/>
      <c r="BF92" s="147" t="s">
        <v>239</v>
      </c>
      <c r="BG92" s="148"/>
      <c r="BH92" s="147" t="s">
        <v>18</v>
      </c>
      <c r="BI92" s="148"/>
      <c r="BJ92" s="147" t="s">
        <v>19</v>
      </c>
      <c r="BK92" s="148"/>
      <c r="BL92" s="149" t="s">
        <v>20</v>
      </c>
      <c r="BM92" s="150"/>
    </row>
    <row r="93" spans="1:65" ht="30" x14ac:dyDescent="0.25">
      <c r="A93" s="3"/>
      <c r="B93" s="53" t="s">
        <v>243</v>
      </c>
      <c r="C93" s="54" t="s">
        <v>244</v>
      </c>
      <c r="D93" s="53" t="s">
        <v>243</v>
      </c>
      <c r="E93" s="54" t="s">
        <v>244</v>
      </c>
      <c r="F93" s="53" t="s">
        <v>243</v>
      </c>
      <c r="G93" s="54" t="s">
        <v>244</v>
      </c>
      <c r="H93" s="53" t="s">
        <v>243</v>
      </c>
      <c r="I93" s="54" t="s">
        <v>244</v>
      </c>
      <c r="J93" s="53" t="s">
        <v>243</v>
      </c>
      <c r="K93" s="54" t="s">
        <v>244</v>
      </c>
      <c r="L93" s="53" t="s">
        <v>243</v>
      </c>
      <c r="M93" s="54" t="s">
        <v>244</v>
      </c>
      <c r="N93" s="53" t="s">
        <v>243</v>
      </c>
      <c r="O93" s="54" t="s">
        <v>244</v>
      </c>
      <c r="P93" s="53" t="s">
        <v>243</v>
      </c>
      <c r="Q93" s="54" t="s">
        <v>244</v>
      </c>
      <c r="R93" s="53" t="s">
        <v>243</v>
      </c>
      <c r="S93" s="54" t="s">
        <v>244</v>
      </c>
      <c r="T93" s="53" t="s">
        <v>243</v>
      </c>
      <c r="U93" s="54" t="s">
        <v>244</v>
      </c>
      <c r="V93" s="53" t="s">
        <v>243</v>
      </c>
      <c r="W93" s="54" t="s">
        <v>244</v>
      </c>
      <c r="X93" s="53" t="s">
        <v>243</v>
      </c>
      <c r="Y93" s="54" t="s">
        <v>244</v>
      </c>
      <c r="Z93" s="53" t="s">
        <v>243</v>
      </c>
      <c r="AA93" s="54" t="s">
        <v>244</v>
      </c>
      <c r="AB93" s="53" t="s">
        <v>243</v>
      </c>
      <c r="AC93" s="54" t="s">
        <v>244</v>
      </c>
      <c r="AD93" s="53" t="s">
        <v>243</v>
      </c>
      <c r="AE93" s="54" t="s">
        <v>244</v>
      </c>
      <c r="AF93" s="53" t="s">
        <v>243</v>
      </c>
      <c r="AG93" s="54" t="s">
        <v>244</v>
      </c>
      <c r="AH93" s="53" t="s">
        <v>243</v>
      </c>
      <c r="AI93" s="54" t="s">
        <v>244</v>
      </c>
      <c r="AJ93" s="53" t="s">
        <v>243</v>
      </c>
      <c r="AK93" s="54" t="s">
        <v>244</v>
      </c>
      <c r="AL93" s="53" t="s">
        <v>243</v>
      </c>
      <c r="AM93" s="54" t="s">
        <v>244</v>
      </c>
      <c r="AN93" s="53" t="s">
        <v>243</v>
      </c>
      <c r="AO93" s="54" t="s">
        <v>244</v>
      </c>
      <c r="AP93" s="53" t="s">
        <v>243</v>
      </c>
      <c r="AQ93" s="54" t="s">
        <v>244</v>
      </c>
      <c r="AR93" s="53" t="s">
        <v>243</v>
      </c>
      <c r="AS93" s="54" t="s">
        <v>244</v>
      </c>
      <c r="AT93" s="53" t="s">
        <v>243</v>
      </c>
      <c r="AU93" s="54" t="s">
        <v>244</v>
      </c>
      <c r="AV93" s="53" t="s">
        <v>243</v>
      </c>
      <c r="AW93" s="54" t="s">
        <v>244</v>
      </c>
      <c r="AX93" s="53" t="s">
        <v>243</v>
      </c>
      <c r="AY93" s="54" t="s">
        <v>244</v>
      </c>
      <c r="AZ93" s="53" t="s">
        <v>243</v>
      </c>
      <c r="BA93" s="54" t="s">
        <v>244</v>
      </c>
      <c r="BB93" s="53" t="s">
        <v>243</v>
      </c>
      <c r="BC93" s="54" t="s">
        <v>244</v>
      </c>
      <c r="BD93" s="53" t="s">
        <v>243</v>
      </c>
      <c r="BE93" s="54" t="s">
        <v>244</v>
      </c>
      <c r="BF93" s="53" t="s">
        <v>243</v>
      </c>
      <c r="BG93" s="54" t="s">
        <v>244</v>
      </c>
      <c r="BH93" s="53" t="s">
        <v>243</v>
      </c>
      <c r="BI93" s="54" t="s">
        <v>244</v>
      </c>
      <c r="BJ93" s="53" t="s">
        <v>243</v>
      </c>
      <c r="BK93" s="54" t="s">
        <v>244</v>
      </c>
      <c r="BL93" s="105" t="s">
        <v>243</v>
      </c>
      <c r="BM93" s="106" t="s">
        <v>244</v>
      </c>
    </row>
    <row r="94" spans="1:65" x14ac:dyDescent="0.25">
      <c r="A94" s="24" t="s">
        <v>304</v>
      </c>
      <c r="B94" s="9">
        <f>B105-B83-B72-B61-B50-B39-B28-B17-B6</f>
        <v>0</v>
      </c>
      <c r="C94" s="9">
        <f t="shared" ref="C94:AE94" si="17">C105-C83-C72-C61-C50-C39-C28-C17-C6</f>
        <v>0</v>
      </c>
      <c r="D94" s="9">
        <f t="shared" si="17"/>
        <v>-1</v>
      </c>
      <c r="E94" s="9">
        <f t="shared" si="17"/>
        <v>1</v>
      </c>
      <c r="F94" s="9">
        <f t="shared" si="17"/>
        <v>0</v>
      </c>
      <c r="G94" s="9">
        <f t="shared" si="17"/>
        <v>0</v>
      </c>
      <c r="H94" s="9">
        <f t="shared" si="17"/>
        <v>0</v>
      </c>
      <c r="I94" s="9">
        <f t="shared" si="17"/>
        <v>0</v>
      </c>
      <c r="J94" s="9">
        <f t="shared" si="17"/>
        <v>0</v>
      </c>
      <c r="K94" s="9">
        <f t="shared" si="17"/>
        <v>0</v>
      </c>
      <c r="L94" s="9">
        <f t="shared" si="17"/>
        <v>275</v>
      </c>
      <c r="M94" s="9">
        <f t="shared" si="17"/>
        <v>428</v>
      </c>
      <c r="N94" s="9">
        <f t="shared" si="17"/>
        <v>256.76</v>
      </c>
      <c r="O94" s="9">
        <f t="shared" si="17"/>
        <v>324.16000000000003</v>
      </c>
      <c r="P94" s="9">
        <f t="shared" si="17"/>
        <v>17.49000000000003</v>
      </c>
      <c r="Q94" s="9">
        <f t="shared" si="17"/>
        <v>21.19000000000004</v>
      </c>
      <c r="R94" s="9">
        <f t="shared" si="17"/>
        <v>708.46999999999969</v>
      </c>
      <c r="S94" s="9">
        <f t="shared" si="17"/>
        <v>1216.9800000000002</v>
      </c>
      <c r="T94" s="9">
        <f t="shared" si="17"/>
        <v>401</v>
      </c>
      <c r="U94" s="9">
        <f t="shared" si="17"/>
        <v>1048</v>
      </c>
      <c r="V94" s="9">
        <f t="shared" si="17"/>
        <v>1518</v>
      </c>
      <c r="W94" s="9">
        <f t="shared" si="17"/>
        <v>2930</v>
      </c>
      <c r="X94" s="9">
        <f t="shared" si="17"/>
        <v>1698</v>
      </c>
      <c r="Y94" s="9">
        <f t="shared" si="17"/>
        <v>3759</v>
      </c>
      <c r="Z94" s="9">
        <f t="shared" si="17"/>
        <v>2090</v>
      </c>
      <c r="AA94" s="9">
        <f t="shared" si="17"/>
        <v>3927</v>
      </c>
      <c r="AB94" s="9">
        <f t="shared" si="17"/>
        <v>16.57999999999987</v>
      </c>
      <c r="AC94" s="9">
        <f t="shared" si="17"/>
        <v>24.900000000000063</v>
      </c>
      <c r="AD94" s="9">
        <f t="shared" si="17"/>
        <v>0</v>
      </c>
      <c r="AE94" s="9">
        <f t="shared" si="17"/>
        <v>0</v>
      </c>
      <c r="AF94" s="9">
        <f t="shared" ref="AF94:BK94" si="18">AF105-AF83-AF72-AF61-AF50-AF39-AF28-AF17-AF6</f>
        <v>23.879999999999939</v>
      </c>
      <c r="AG94" s="9">
        <f t="shared" si="18"/>
        <v>41.699999999999477</v>
      </c>
      <c r="AH94" s="9">
        <f t="shared" si="18"/>
        <v>7.0900000000001455</v>
      </c>
      <c r="AI94" s="9">
        <f t="shared" si="18"/>
        <v>8.8499999999994543</v>
      </c>
      <c r="AJ94" s="9">
        <f t="shared" si="18"/>
        <v>0</v>
      </c>
      <c r="AK94" s="9">
        <f t="shared" si="18"/>
        <v>0</v>
      </c>
      <c r="AL94" s="9">
        <f t="shared" si="18"/>
        <v>0</v>
      </c>
      <c r="AM94" s="9">
        <f t="shared" si="18"/>
        <v>0</v>
      </c>
      <c r="AN94" s="9" t="e">
        <f>AN105-AN83-AN72-AN61-AN50-AN39-#REF!-AN28-AN6</f>
        <v>#REF!</v>
      </c>
      <c r="AO94" s="9">
        <f t="shared" si="18"/>
        <v>0</v>
      </c>
      <c r="AP94" s="9">
        <f t="shared" si="18"/>
        <v>255</v>
      </c>
      <c r="AQ94" s="9">
        <f t="shared" si="18"/>
        <v>457</v>
      </c>
      <c r="AR94" s="9">
        <f t="shared" si="18"/>
        <v>307</v>
      </c>
      <c r="AS94" s="9">
        <f t="shared" si="18"/>
        <v>811</v>
      </c>
      <c r="AT94" s="9">
        <f t="shared" si="18"/>
        <v>0</v>
      </c>
      <c r="AU94" s="9">
        <f t="shared" si="18"/>
        <v>0</v>
      </c>
      <c r="AV94" s="9">
        <f t="shared" si="18"/>
        <v>590</v>
      </c>
      <c r="AW94" s="9">
        <f t="shared" si="18"/>
        <v>1282</v>
      </c>
      <c r="AX94" s="9">
        <f t="shared" si="18"/>
        <v>19</v>
      </c>
      <c r="AY94" s="9">
        <f t="shared" si="18"/>
        <v>36</v>
      </c>
      <c r="AZ94" s="9">
        <f t="shared" si="18"/>
        <v>0</v>
      </c>
      <c r="BA94" s="9">
        <f t="shared" si="18"/>
        <v>0</v>
      </c>
      <c r="BB94" s="9">
        <f t="shared" si="18"/>
        <v>1343</v>
      </c>
      <c r="BC94" s="9">
        <f t="shared" si="18"/>
        <v>2726</v>
      </c>
      <c r="BD94" s="9">
        <f t="shared" si="18"/>
        <v>0</v>
      </c>
      <c r="BE94" s="9">
        <f t="shared" si="18"/>
        <v>0</v>
      </c>
      <c r="BF94" s="9">
        <f t="shared" si="18"/>
        <v>1889</v>
      </c>
      <c r="BG94" s="9">
        <f t="shared" si="18"/>
        <v>3847</v>
      </c>
      <c r="BH94" s="9">
        <f t="shared" si="18"/>
        <v>0</v>
      </c>
      <c r="BI94" s="9">
        <f t="shared" si="18"/>
        <v>0</v>
      </c>
      <c r="BJ94" s="9">
        <f t="shared" si="18"/>
        <v>130</v>
      </c>
      <c r="BK94" s="9">
        <f t="shared" si="18"/>
        <v>258</v>
      </c>
      <c r="BL94" s="68" t="e">
        <f t="shared" ref="BL94:BL100" si="19">SUM(B94+D94+F94+H94+J94+L94+N94+P94+R94+T94+V94+X94+Z94+AB94+AD94+AF94+AH94+AJ94+AL94+AN94+AP94+AR94+AT94+AV94+AX94+AZ94+BB94+BD94+BF94+BH94+BJ94)</f>
        <v>#REF!</v>
      </c>
      <c r="BM94" s="68">
        <f t="shared" ref="BM94:BM100" si="20">SUM(C94+E94+G94+I94+K94+M94+O94+Q94+S94+U94+W94+Y94+AA94+AC94+AE94+AG94+AI94+AK94+AM94+AO94+AQ94+AS94+AU94+AW94+AY94+BA94+BC94+BE94+BG94+BI94+BK94)</f>
        <v>23147.78</v>
      </c>
    </row>
    <row r="95" spans="1:65" s="71" customFormat="1" x14ac:dyDescent="0.25">
      <c r="A95" s="24" t="s">
        <v>305</v>
      </c>
      <c r="B95" s="92">
        <f t="shared" ref="B95:BK95" si="21">B106-B84-B73-B62-B51-B40-B29-B18-B7</f>
        <v>0</v>
      </c>
      <c r="C95" s="92">
        <f t="shared" si="21"/>
        <v>0</v>
      </c>
      <c r="D95" s="92">
        <f t="shared" si="21"/>
        <v>0</v>
      </c>
      <c r="E95" s="92">
        <f t="shared" si="21"/>
        <v>0</v>
      </c>
      <c r="F95" s="92">
        <f t="shared" si="21"/>
        <v>0</v>
      </c>
      <c r="G95" s="92">
        <f t="shared" si="21"/>
        <v>0</v>
      </c>
      <c r="H95" s="92">
        <f t="shared" si="21"/>
        <v>235</v>
      </c>
      <c r="I95" s="92">
        <f t="shared" si="21"/>
        <v>577</v>
      </c>
      <c r="J95" s="92">
        <f t="shared" si="21"/>
        <v>0</v>
      </c>
      <c r="K95" s="92">
        <f t="shared" si="21"/>
        <v>0</v>
      </c>
      <c r="L95" s="92">
        <f t="shared" si="21"/>
        <v>4</v>
      </c>
      <c r="M95" s="92">
        <f t="shared" si="21"/>
        <v>8</v>
      </c>
      <c r="N95" s="92">
        <f t="shared" si="21"/>
        <v>0</v>
      </c>
      <c r="O95" s="92">
        <f t="shared" si="21"/>
        <v>0</v>
      </c>
      <c r="P95" s="92">
        <f t="shared" si="21"/>
        <v>2.9999999999982485E-2</v>
      </c>
      <c r="Q95" s="92">
        <f t="shared" si="21"/>
        <v>5.0000000000019362E-2</v>
      </c>
      <c r="R95" s="92">
        <f t="shared" si="21"/>
        <v>0</v>
      </c>
      <c r="S95" s="92">
        <f t="shared" si="21"/>
        <v>0</v>
      </c>
      <c r="T95" s="92">
        <f t="shared" si="21"/>
        <v>49</v>
      </c>
      <c r="U95" s="92">
        <f t="shared" si="21"/>
        <v>163</v>
      </c>
      <c r="V95" s="92">
        <f t="shared" si="21"/>
        <v>316</v>
      </c>
      <c r="W95" s="92">
        <f t="shared" si="21"/>
        <v>652</v>
      </c>
      <c r="X95" s="92">
        <f t="shared" si="21"/>
        <v>479</v>
      </c>
      <c r="Y95" s="92">
        <f t="shared" si="21"/>
        <v>953</v>
      </c>
      <c r="Z95" s="92">
        <f t="shared" si="21"/>
        <v>759</v>
      </c>
      <c r="AA95" s="92">
        <f t="shared" si="21"/>
        <v>1687</v>
      </c>
      <c r="AB95" s="92">
        <f t="shared" si="21"/>
        <v>2.9000000000000026</v>
      </c>
      <c r="AC95" s="92">
        <f t="shared" si="21"/>
        <v>4.6999999999999709</v>
      </c>
      <c r="AD95" s="92">
        <f t="shared" si="21"/>
        <v>0</v>
      </c>
      <c r="AE95" s="92">
        <f t="shared" si="21"/>
        <v>0</v>
      </c>
      <c r="AF95" s="92">
        <f t="shared" si="21"/>
        <v>4.17999999999995</v>
      </c>
      <c r="AG95" s="92">
        <f t="shared" si="21"/>
        <v>8.6200000000000045</v>
      </c>
      <c r="AH95" s="92">
        <f t="shared" si="21"/>
        <v>0.72000000000002728</v>
      </c>
      <c r="AI95" s="92">
        <f t="shared" si="21"/>
        <v>0.54000000000002046</v>
      </c>
      <c r="AJ95" s="92">
        <f t="shared" si="21"/>
        <v>0</v>
      </c>
      <c r="AK95" s="92">
        <f t="shared" si="21"/>
        <v>0</v>
      </c>
      <c r="AL95" s="92">
        <f t="shared" si="21"/>
        <v>0</v>
      </c>
      <c r="AM95" s="92">
        <f t="shared" si="21"/>
        <v>0</v>
      </c>
      <c r="AN95" s="92" t="e">
        <f>AN106-AN84-AN73-AN62-AN51-AN40-#REF!-AN29-AN7</f>
        <v>#REF!</v>
      </c>
      <c r="AO95" s="92">
        <f t="shared" si="21"/>
        <v>0</v>
      </c>
      <c r="AP95" s="92">
        <f t="shared" si="21"/>
        <v>73</v>
      </c>
      <c r="AQ95" s="92">
        <f t="shared" si="21"/>
        <v>127</v>
      </c>
      <c r="AR95" s="92">
        <f t="shared" si="21"/>
        <v>74</v>
      </c>
      <c r="AS95" s="92">
        <f t="shared" si="21"/>
        <v>137</v>
      </c>
      <c r="AT95" s="92">
        <f t="shared" si="21"/>
        <v>0</v>
      </c>
      <c r="AU95" s="92">
        <f t="shared" si="21"/>
        <v>0</v>
      </c>
      <c r="AV95" s="92">
        <f t="shared" si="21"/>
        <v>116</v>
      </c>
      <c r="AW95" s="92">
        <f t="shared" si="21"/>
        <v>314</v>
      </c>
      <c r="AX95" s="92">
        <f t="shared" si="21"/>
        <v>4</v>
      </c>
      <c r="AY95" s="92">
        <f t="shared" si="21"/>
        <v>6</v>
      </c>
      <c r="AZ95" s="92">
        <f t="shared" si="21"/>
        <v>1</v>
      </c>
      <c r="BA95" s="92">
        <f t="shared" si="21"/>
        <v>0</v>
      </c>
      <c r="BB95" s="92">
        <f t="shared" si="21"/>
        <v>536</v>
      </c>
      <c r="BC95" s="92">
        <f t="shared" si="21"/>
        <v>1008</v>
      </c>
      <c r="BD95" s="92">
        <f t="shared" si="21"/>
        <v>0</v>
      </c>
      <c r="BE95" s="92">
        <f t="shared" si="21"/>
        <v>0</v>
      </c>
      <c r="BF95" s="92">
        <f t="shared" si="21"/>
        <v>0</v>
      </c>
      <c r="BG95" s="92">
        <f t="shared" si="21"/>
        <v>0</v>
      </c>
      <c r="BH95" s="92">
        <f t="shared" si="21"/>
        <v>0</v>
      </c>
      <c r="BI95" s="92">
        <f t="shared" si="21"/>
        <v>0</v>
      </c>
      <c r="BJ95" s="92">
        <f t="shared" si="21"/>
        <v>8</v>
      </c>
      <c r="BK95" s="92">
        <f t="shared" si="21"/>
        <v>19</v>
      </c>
      <c r="BL95" s="68" t="e">
        <f t="shared" si="19"/>
        <v>#REF!</v>
      </c>
      <c r="BM95" s="68">
        <f t="shared" si="20"/>
        <v>5664.91</v>
      </c>
    </row>
    <row r="96" spans="1:65" s="71" customFormat="1" x14ac:dyDescent="0.25">
      <c r="A96" s="24" t="s">
        <v>306</v>
      </c>
      <c r="B96" s="92">
        <f t="shared" ref="B96:BK96" si="22">B107-B85-B74-B63-B52-B41-B30-B19-B8</f>
        <v>0</v>
      </c>
      <c r="C96" s="92">
        <f t="shared" si="22"/>
        <v>0</v>
      </c>
      <c r="D96" s="92">
        <f t="shared" si="22"/>
        <v>0</v>
      </c>
      <c r="E96" s="92">
        <f t="shared" si="22"/>
        <v>0</v>
      </c>
      <c r="F96" s="92">
        <f t="shared" si="22"/>
        <v>0</v>
      </c>
      <c r="G96" s="92">
        <f t="shared" si="22"/>
        <v>0</v>
      </c>
      <c r="H96" s="92">
        <f t="shared" si="22"/>
        <v>1864</v>
      </c>
      <c r="I96" s="92">
        <f t="shared" si="22"/>
        <v>3750</v>
      </c>
      <c r="J96" s="92">
        <f t="shared" si="22"/>
        <v>0</v>
      </c>
      <c r="K96" s="92">
        <f t="shared" si="22"/>
        <v>0</v>
      </c>
      <c r="L96" s="92">
        <f t="shared" si="22"/>
        <v>0</v>
      </c>
      <c r="M96" s="92">
        <f t="shared" si="22"/>
        <v>0</v>
      </c>
      <c r="N96" s="92">
        <f t="shared" si="22"/>
        <v>0</v>
      </c>
      <c r="O96" s="92">
        <f t="shared" si="22"/>
        <v>0</v>
      </c>
      <c r="P96" s="92">
        <f t="shared" si="22"/>
        <v>0</v>
      </c>
      <c r="Q96" s="92">
        <f t="shared" si="22"/>
        <v>0</v>
      </c>
      <c r="R96" s="92">
        <f t="shared" si="22"/>
        <v>29.590000000000003</v>
      </c>
      <c r="S96" s="92">
        <f t="shared" si="22"/>
        <v>51.470000000000169</v>
      </c>
      <c r="T96" s="92">
        <f t="shared" si="22"/>
        <v>0</v>
      </c>
      <c r="U96" s="92">
        <f t="shared" si="22"/>
        <v>0</v>
      </c>
      <c r="V96" s="92">
        <f t="shared" si="22"/>
        <v>0</v>
      </c>
      <c r="W96" s="92">
        <f t="shared" si="22"/>
        <v>0</v>
      </c>
      <c r="X96" s="92">
        <f t="shared" si="22"/>
        <v>0</v>
      </c>
      <c r="Y96" s="92">
        <f t="shared" si="22"/>
        <v>0</v>
      </c>
      <c r="Z96" s="92">
        <f t="shared" si="22"/>
        <v>0</v>
      </c>
      <c r="AA96" s="92">
        <f t="shared" si="22"/>
        <v>0</v>
      </c>
      <c r="AB96" s="92">
        <f t="shared" si="22"/>
        <v>0</v>
      </c>
      <c r="AC96" s="92">
        <f t="shared" si="22"/>
        <v>0</v>
      </c>
      <c r="AD96" s="92">
        <f t="shared" si="22"/>
        <v>0</v>
      </c>
      <c r="AE96" s="92">
        <f t="shared" si="22"/>
        <v>0</v>
      </c>
      <c r="AF96" s="92">
        <f t="shared" si="22"/>
        <v>0</v>
      </c>
      <c r="AG96" s="92">
        <f t="shared" si="22"/>
        <v>0</v>
      </c>
      <c r="AH96" s="92">
        <f t="shared" si="22"/>
        <v>0</v>
      </c>
      <c r="AI96" s="92">
        <f t="shared" si="22"/>
        <v>0</v>
      </c>
      <c r="AJ96" s="92">
        <f t="shared" si="22"/>
        <v>0</v>
      </c>
      <c r="AK96" s="92">
        <f t="shared" si="22"/>
        <v>0</v>
      </c>
      <c r="AL96" s="92">
        <f t="shared" si="22"/>
        <v>0</v>
      </c>
      <c r="AM96" s="92">
        <f t="shared" si="22"/>
        <v>0</v>
      </c>
      <c r="AN96" s="92" t="e">
        <f>AN107-AN85-AN74-AN63-AN52-AN41-#REF!-AN30-AN8</f>
        <v>#REF!</v>
      </c>
      <c r="AO96" s="92">
        <f t="shared" si="22"/>
        <v>0</v>
      </c>
      <c r="AP96" s="92">
        <f t="shared" si="22"/>
        <v>0</v>
      </c>
      <c r="AQ96" s="92">
        <f t="shared" si="22"/>
        <v>0</v>
      </c>
      <c r="AR96" s="92">
        <f t="shared" si="22"/>
        <v>0</v>
      </c>
      <c r="AS96" s="92">
        <f t="shared" si="22"/>
        <v>0</v>
      </c>
      <c r="AT96" s="92">
        <f t="shared" si="22"/>
        <v>0</v>
      </c>
      <c r="AU96" s="92">
        <f t="shared" si="22"/>
        <v>0</v>
      </c>
      <c r="AV96" s="92">
        <f t="shared" si="22"/>
        <v>1</v>
      </c>
      <c r="AW96" s="92">
        <f t="shared" si="22"/>
        <v>0</v>
      </c>
      <c r="AX96" s="92">
        <f t="shared" si="22"/>
        <v>0</v>
      </c>
      <c r="AY96" s="92">
        <f t="shared" si="22"/>
        <v>0</v>
      </c>
      <c r="AZ96" s="92">
        <f t="shared" si="22"/>
        <v>0</v>
      </c>
      <c r="BA96" s="92">
        <f t="shared" si="22"/>
        <v>0</v>
      </c>
      <c r="BB96" s="92">
        <f t="shared" si="22"/>
        <v>0</v>
      </c>
      <c r="BC96" s="92">
        <f t="shared" si="22"/>
        <v>0</v>
      </c>
      <c r="BD96" s="92">
        <f t="shared" si="22"/>
        <v>0</v>
      </c>
      <c r="BE96" s="92">
        <f t="shared" si="22"/>
        <v>0</v>
      </c>
      <c r="BF96" s="92">
        <f t="shared" si="22"/>
        <v>0</v>
      </c>
      <c r="BG96" s="92">
        <f t="shared" si="22"/>
        <v>0</v>
      </c>
      <c r="BH96" s="92">
        <f t="shared" si="22"/>
        <v>0</v>
      </c>
      <c r="BI96" s="92">
        <f t="shared" si="22"/>
        <v>0</v>
      </c>
      <c r="BJ96" s="92">
        <f t="shared" si="22"/>
        <v>0</v>
      </c>
      <c r="BK96" s="92">
        <f t="shared" si="22"/>
        <v>0</v>
      </c>
      <c r="BL96" s="68" t="e">
        <f t="shared" si="19"/>
        <v>#REF!</v>
      </c>
      <c r="BM96" s="68">
        <f t="shared" si="20"/>
        <v>3801.4700000000003</v>
      </c>
    </row>
    <row r="97" spans="1:65" s="7" customFormat="1" x14ac:dyDescent="0.25">
      <c r="A97" s="10" t="s">
        <v>307</v>
      </c>
      <c r="B97" s="10">
        <f t="shared" ref="B97:BK97" si="23">B108-B86-B75-B64-B53-B42-B31-B20-B9</f>
        <v>0</v>
      </c>
      <c r="C97" s="10">
        <f t="shared" si="23"/>
        <v>0</v>
      </c>
      <c r="D97" s="10">
        <f t="shared" si="23"/>
        <v>1</v>
      </c>
      <c r="E97" s="10">
        <f t="shared" si="23"/>
        <v>0</v>
      </c>
      <c r="F97" s="10">
        <f t="shared" si="23"/>
        <v>0</v>
      </c>
      <c r="G97" s="10">
        <f t="shared" si="23"/>
        <v>0</v>
      </c>
      <c r="H97" s="10">
        <f t="shared" si="23"/>
        <v>2099</v>
      </c>
      <c r="I97" s="10">
        <f t="shared" si="23"/>
        <v>4326</v>
      </c>
      <c r="J97" s="10">
        <f t="shared" si="23"/>
        <v>0</v>
      </c>
      <c r="K97" s="10">
        <f t="shared" si="23"/>
        <v>0</v>
      </c>
      <c r="L97" s="10">
        <f t="shared" si="23"/>
        <v>277</v>
      </c>
      <c r="M97" s="10">
        <f t="shared" si="23"/>
        <v>435</v>
      </c>
      <c r="N97" s="10">
        <f t="shared" si="23"/>
        <v>256.76</v>
      </c>
      <c r="O97" s="10">
        <f t="shared" si="23"/>
        <v>324.16000000000003</v>
      </c>
      <c r="P97" s="10">
        <f t="shared" si="23"/>
        <v>17.519999999999943</v>
      </c>
      <c r="Q97" s="10">
        <f t="shared" si="23"/>
        <v>21.239999999999824</v>
      </c>
      <c r="R97" s="10">
        <f t="shared" si="23"/>
        <v>738.06000000000006</v>
      </c>
      <c r="S97" s="10">
        <f t="shared" si="23"/>
        <v>1268.4500000000003</v>
      </c>
      <c r="T97" s="10">
        <f t="shared" si="23"/>
        <v>451</v>
      </c>
      <c r="U97" s="10">
        <f t="shared" si="23"/>
        <v>1210</v>
      </c>
      <c r="V97" s="10">
        <f t="shared" si="23"/>
        <v>1834</v>
      </c>
      <c r="W97" s="10">
        <f t="shared" si="23"/>
        <v>3584</v>
      </c>
      <c r="X97" s="10">
        <f t="shared" si="23"/>
        <v>2177</v>
      </c>
      <c r="Y97" s="10">
        <f t="shared" si="23"/>
        <v>4712</v>
      </c>
      <c r="Z97" s="10">
        <f t="shared" si="23"/>
        <v>2849</v>
      </c>
      <c r="AA97" s="10">
        <f t="shared" si="23"/>
        <v>5616</v>
      </c>
      <c r="AB97" s="10">
        <f t="shared" si="23"/>
        <v>19.48000000000016</v>
      </c>
      <c r="AC97" s="10">
        <f t="shared" si="23"/>
        <v>29.600000000000477</v>
      </c>
      <c r="AD97" s="10">
        <f t="shared" si="23"/>
        <v>173.69000000000003</v>
      </c>
      <c r="AE97" s="10">
        <f t="shared" si="23"/>
        <v>472.37</v>
      </c>
      <c r="AF97" s="10">
        <f t="shared" si="23"/>
        <v>28.059999999999945</v>
      </c>
      <c r="AG97" s="10">
        <f t="shared" si="23"/>
        <v>50.290000000000077</v>
      </c>
      <c r="AH97" s="10">
        <f t="shared" si="23"/>
        <v>7.8099999999999454</v>
      </c>
      <c r="AI97" s="10">
        <f t="shared" si="23"/>
        <v>9.3999999999996362</v>
      </c>
      <c r="AJ97" s="10">
        <f t="shared" si="23"/>
        <v>-9.999999999308784E-3</v>
      </c>
      <c r="AK97" s="10">
        <f t="shared" si="23"/>
        <v>0</v>
      </c>
      <c r="AL97" s="10">
        <f t="shared" si="23"/>
        <v>1328.6000000000004</v>
      </c>
      <c r="AM97" s="10">
        <f t="shared" si="23"/>
        <v>2626.58</v>
      </c>
      <c r="AN97" s="10" t="e">
        <f>AN108-AN86-AN75-AN64-AN53-AN42-#REF!-AN31-AN9</f>
        <v>#REF!</v>
      </c>
      <c r="AO97" s="10">
        <f t="shared" si="23"/>
        <v>1</v>
      </c>
      <c r="AP97" s="10">
        <f t="shared" si="23"/>
        <v>328</v>
      </c>
      <c r="AQ97" s="10">
        <f t="shared" si="23"/>
        <v>586</v>
      </c>
      <c r="AR97" s="10">
        <f t="shared" si="23"/>
        <v>380</v>
      </c>
      <c r="AS97" s="10">
        <f t="shared" si="23"/>
        <v>948</v>
      </c>
      <c r="AT97" s="10">
        <f t="shared" si="23"/>
        <v>58.790000000000305</v>
      </c>
      <c r="AU97" s="10">
        <f t="shared" si="23"/>
        <v>121.20000000000209</v>
      </c>
      <c r="AV97" s="10">
        <f t="shared" si="23"/>
        <v>707</v>
      </c>
      <c r="AW97" s="10">
        <f t="shared" si="23"/>
        <v>1596</v>
      </c>
      <c r="AX97" s="10">
        <f t="shared" si="23"/>
        <v>24</v>
      </c>
      <c r="AY97" s="10">
        <f t="shared" si="23"/>
        <v>43</v>
      </c>
      <c r="AZ97" s="10">
        <f t="shared" si="23"/>
        <v>1</v>
      </c>
      <c r="BA97" s="10">
        <f t="shared" si="23"/>
        <v>-1</v>
      </c>
      <c r="BB97" s="10">
        <f t="shared" si="23"/>
        <v>1879</v>
      </c>
      <c r="BC97" s="10">
        <f t="shared" si="23"/>
        <v>3735</v>
      </c>
      <c r="BD97" s="10">
        <f t="shared" si="23"/>
        <v>6933.7000000000025</v>
      </c>
      <c r="BE97" s="10">
        <f t="shared" si="23"/>
        <v>13105.73</v>
      </c>
      <c r="BF97" s="10">
        <f t="shared" si="23"/>
        <v>1481</v>
      </c>
      <c r="BG97" s="10">
        <f t="shared" si="23"/>
        <v>3489</v>
      </c>
      <c r="BH97" s="10">
        <f t="shared" si="23"/>
        <v>2447</v>
      </c>
      <c r="BI97" s="10">
        <f t="shared" si="23"/>
        <v>4091</v>
      </c>
      <c r="BJ97" s="10">
        <f t="shared" si="23"/>
        <v>136</v>
      </c>
      <c r="BK97" s="10">
        <f t="shared" si="23"/>
        <v>277</v>
      </c>
      <c r="BL97" s="63" t="e">
        <f t="shared" si="19"/>
        <v>#REF!</v>
      </c>
      <c r="BM97" s="63">
        <f t="shared" si="20"/>
        <v>52677.020000000004</v>
      </c>
    </row>
    <row r="98" spans="1:65" x14ac:dyDescent="0.25">
      <c r="A98" s="24" t="s">
        <v>308</v>
      </c>
      <c r="B98" s="9">
        <f t="shared" ref="B98:AE98" si="24">B109-B87-B76-B65-B54-B43-B32-B21-B10</f>
        <v>0</v>
      </c>
      <c r="C98" s="9">
        <f t="shared" si="24"/>
        <v>0</v>
      </c>
      <c r="D98" s="9">
        <f t="shared" si="24"/>
        <v>0</v>
      </c>
      <c r="E98" s="9">
        <f t="shared" si="24"/>
        <v>0</v>
      </c>
      <c r="F98" s="9">
        <f t="shared" si="24"/>
        <v>0</v>
      </c>
      <c r="G98" s="9">
        <f t="shared" si="24"/>
        <v>0</v>
      </c>
      <c r="H98" s="9">
        <f t="shared" si="24"/>
        <v>10</v>
      </c>
      <c r="I98" s="9">
        <f t="shared" si="24"/>
        <v>10</v>
      </c>
      <c r="J98" s="9">
        <f t="shared" si="24"/>
        <v>0</v>
      </c>
      <c r="K98" s="9">
        <f t="shared" si="24"/>
        <v>0</v>
      </c>
      <c r="L98" s="9">
        <f t="shared" si="24"/>
        <v>0</v>
      </c>
      <c r="M98" s="9">
        <f t="shared" si="24"/>
        <v>0</v>
      </c>
      <c r="N98" s="9">
        <f t="shared" si="24"/>
        <v>0</v>
      </c>
      <c r="O98" s="9">
        <f t="shared" si="24"/>
        <v>0</v>
      </c>
      <c r="P98" s="9">
        <f t="shared" si="24"/>
        <v>0</v>
      </c>
      <c r="Q98" s="9">
        <f t="shared" si="24"/>
        <v>9.9999999999980105E-3</v>
      </c>
      <c r="R98" s="9">
        <f t="shared" si="24"/>
        <v>17.280000000000015</v>
      </c>
      <c r="S98" s="9">
        <f t="shared" si="24"/>
        <v>26.420000000000016</v>
      </c>
      <c r="T98" s="9">
        <f t="shared" si="24"/>
        <v>50</v>
      </c>
      <c r="U98" s="9">
        <f t="shared" si="24"/>
        <v>83</v>
      </c>
      <c r="V98" s="9">
        <f t="shared" si="24"/>
        <v>74</v>
      </c>
      <c r="W98" s="9">
        <f t="shared" si="24"/>
        <v>213</v>
      </c>
      <c r="X98" s="9">
        <f t="shared" si="24"/>
        <v>46</v>
      </c>
      <c r="Y98" s="9">
        <f t="shared" si="24"/>
        <v>119</v>
      </c>
      <c r="Z98" s="9">
        <f t="shared" si="24"/>
        <v>81</v>
      </c>
      <c r="AA98" s="9">
        <f t="shared" si="24"/>
        <v>95</v>
      </c>
      <c r="AB98" s="9">
        <f t="shared" si="24"/>
        <v>3.9999999999999147E-2</v>
      </c>
      <c r="AC98" s="9">
        <f t="shared" si="24"/>
        <v>1.7800000000000011</v>
      </c>
      <c r="AD98" s="9">
        <f t="shared" si="24"/>
        <v>1.1499999999999986</v>
      </c>
      <c r="AE98" s="9">
        <f t="shared" si="24"/>
        <v>4.6599999999999966</v>
      </c>
      <c r="AF98" s="9">
        <f t="shared" ref="AF98:BK98" si="25">AF109-AF87-AF76-AF65-AF54-AF43-AF32-AF21-AF10</f>
        <v>9.9199999999999946</v>
      </c>
      <c r="AG98" s="9">
        <f t="shared" si="25"/>
        <v>14.419999999999959</v>
      </c>
      <c r="AH98" s="9">
        <f t="shared" si="25"/>
        <v>0</v>
      </c>
      <c r="AI98" s="9">
        <f t="shared" si="25"/>
        <v>0</v>
      </c>
      <c r="AJ98" s="9">
        <f t="shared" si="25"/>
        <v>0</v>
      </c>
      <c r="AK98" s="9">
        <f t="shared" si="25"/>
        <v>0</v>
      </c>
      <c r="AL98" s="9">
        <f t="shared" si="25"/>
        <v>25.740000000000009</v>
      </c>
      <c r="AM98" s="9">
        <f t="shared" si="25"/>
        <v>56.299999999999841</v>
      </c>
      <c r="AN98" s="9" t="e">
        <f>AN109-AN87-AN76-AN65-AN54-AN43-#REF!-AN32-AN10</f>
        <v>#REF!</v>
      </c>
      <c r="AO98" s="9">
        <f t="shared" si="25"/>
        <v>1</v>
      </c>
      <c r="AP98" s="9">
        <f t="shared" si="25"/>
        <v>18</v>
      </c>
      <c r="AQ98" s="9">
        <f t="shared" si="25"/>
        <v>101</v>
      </c>
      <c r="AR98" s="9">
        <f t="shared" si="25"/>
        <v>15</v>
      </c>
      <c r="AS98" s="9">
        <f t="shared" si="25"/>
        <v>15</v>
      </c>
      <c r="AT98" s="9">
        <f t="shared" si="25"/>
        <v>2.0000000000010232E-2</v>
      </c>
      <c r="AU98" s="9">
        <f t="shared" si="25"/>
        <v>4.0000000000077307E-2</v>
      </c>
      <c r="AV98" s="9">
        <f t="shared" si="25"/>
        <v>53</v>
      </c>
      <c r="AW98" s="9">
        <f t="shared" si="25"/>
        <v>68</v>
      </c>
      <c r="AX98" s="9">
        <f t="shared" si="25"/>
        <v>0</v>
      </c>
      <c r="AY98" s="9">
        <f t="shared" si="25"/>
        <v>0</v>
      </c>
      <c r="AZ98" s="9">
        <f t="shared" si="25"/>
        <v>0</v>
      </c>
      <c r="BA98" s="9">
        <f t="shared" si="25"/>
        <v>0</v>
      </c>
      <c r="BB98" s="9">
        <f t="shared" si="25"/>
        <v>245</v>
      </c>
      <c r="BC98" s="9">
        <f t="shared" si="25"/>
        <v>384</v>
      </c>
      <c r="BD98" s="9">
        <f t="shared" si="25"/>
        <v>26.140000000000327</v>
      </c>
      <c r="BE98" s="9">
        <f t="shared" si="25"/>
        <v>35.739999999999782</v>
      </c>
      <c r="BF98" s="9">
        <f t="shared" si="25"/>
        <v>-449</v>
      </c>
      <c r="BG98" s="9">
        <f t="shared" si="25"/>
        <v>47</v>
      </c>
      <c r="BH98" s="9">
        <f t="shared" si="25"/>
        <v>14</v>
      </c>
      <c r="BI98" s="9">
        <f t="shared" si="25"/>
        <v>6</v>
      </c>
      <c r="BJ98" s="9">
        <f t="shared" si="25"/>
        <v>1</v>
      </c>
      <c r="BK98" s="9">
        <f t="shared" si="25"/>
        <v>0</v>
      </c>
      <c r="BL98" s="68" t="e">
        <f t="shared" si="19"/>
        <v>#REF!</v>
      </c>
      <c r="BM98" s="68">
        <f t="shared" si="20"/>
        <v>1281.3699999999997</v>
      </c>
    </row>
    <row r="99" spans="1:65" x14ac:dyDescent="0.25">
      <c r="A99" s="24" t="s">
        <v>309</v>
      </c>
      <c r="B99" s="9">
        <f t="shared" ref="B99:AE99" si="26">B110-B88-B77-B66-B55-B44-B33-B22-B11</f>
        <v>24</v>
      </c>
      <c r="C99" s="9">
        <f t="shared" si="26"/>
        <v>39</v>
      </c>
      <c r="D99" s="9">
        <f t="shared" si="26"/>
        <v>0</v>
      </c>
      <c r="E99" s="9">
        <f t="shared" si="26"/>
        <v>-1</v>
      </c>
      <c r="F99" s="9">
        <f t="shared" si="26"/>
        <v>0</v>
      </c>
      <c r="G99" s="9">
        <f t="shared" si="26"/>
        <v>0</v>
      </c>
      <c r="H99" s="9">
        <f t="shared" si="26"/>
        <v>-2543</v>
      </c>
      <c r="I99" s="9">
        <f t="shared" si="26"/>
        <v>-5662</v>
      </c>
      <c r="J99" s="9">
        <f t="shared" si="26"/>
        <v>0</v>
      </c>
      <c r="K99" s="9">
        <f t="shared" si="26"/>
        <v>0</v>
      </c>
      <c r="L99" s="9">
        <f t="shared" si="26"/>
        <v>53</v>
      </c>
      <c r="M99" s="9">
        <f t="shared" si="26"/>
        <v>113</v>
      </c>
      <c r="N99" s="9">
        <f t="shared" si="26"/>
        <v>782.74</v>
      </c>
      <c r="O99" s="9">
        <f t="shared" si="26"/>
        <v>1306.3599999999999</v>
      </c>
      <c r="P99" s="9">
        <f t="shared" si="26"/>
        <v>1.6399999999999793</v>
      </c>
      <c r="Q99" s="9">
        <f t="shared" si="26"/>
        <v>1.9000000000001194</v>
      </c>
      <c r="R99" s="9">
        <f t="shared" si="26"/>
        <v>506.7899999999986</v>
      </c>
      <c r="S99" s="9">
        <f t="shared" si="26"/>
        <v>863.4300000000012</v>
      </c>
      <c r="T99" s="9">
        <f t="shared" si="26"/>
        <v>-111</v>
      </c>
      <c r="U99" s="9">
        <f t="shared" si="26"/>
        <v>-236</v>
      </c>
      <c r="V99" s="9">
        <f t="shared" si="26"/>
        <v>-1977</v>
      </c>
      <c r="W99" s="9">
        <f t="shared" si="26"/>
        <v>-4564</v>
      </c>
      <c r="X99" s="9">
        <f t="shared" si="26"/>
        <v>1388</v>
      </c>
      <c r="Y99" s="9">
        <f t="shared" si="26"/>
        <v>2630</v>
      </c>
      <c r="Z99" s="9">
        <f t="shared" si="26"/>
        <v>870</v>
      </c>
      <c r="AA99" s="9">
        <f t="shared" si="26"/>
        <v>1506</v>
      </c>
      <c r="AB99" s="9">
        <f t="shared" si="26"/>
        <v>30.949999999999903</v>
      </c>
      <c r="AC99" s="9">
        <f t="shared" si="26"/>
        <v>57.580000000000041</v>
      </c>
      <c r="AD99" s="9">
        <f t="shared" si="26"/>
        <v>75.279999999999916</v>
      </c>
      <c r="AE99" s="9">
        <f t="shared" si="26"/>
        <v>249.61000000000024</v>
      </c>
      <c r="AF99" s="9">
        <f t="shared" ref="AF99:BK99" si="27">AF110-AF88-AF77-AF66-AF55-AF44-AF33-AF22-AF11</f>
        <v>-94.159999999999798</v>
      </c>
      <c r="AG99" s="9">
        <f t="shared" si="27"/>
        <v>-167.97999999999979</v>
      </c>
      <c r="AH99" s="9">
        <f t="shared" si="27"/>
        <v>0.58999999999997499</v>
      </c>
      <c r="AI99" s="9">
        <f t="shared" si="27"/>
        <v>1.3299999999999841</v>
      </c>
      <c r="AJ99" s="9">
        <f t="shared" si="27"/>
        <v>0</v>
      </c>
      <c r="AK99" s="9">
        <f t="shared" si="27"/>
        <v>0</v>
      </c>
      <c r="AL99" s="9">
        <f t="shared" si="27"/>
        <v>84.490000000000009</v>
      </c>
      <c r="AM99" s="9">
        <f t="shared" si="27"/>
        <v>281.75999999999885</v>
      </c>
      <c r="AN99" s="9" t="e">
        <f>AN110-AN88-AN77-AN66-AN55-AN44-#REF!-AN33-AN11</f>
        <v>#REF!</v>
      </c>
      <c r="AO99" s="9">
        <f t="shared" si="27"/>
        <v>-1</v>
      </c>
      <c r="AP99" s="9">
        <f t="shared" si="27"/>
        <v>81</v>
      </c>
      <c r="AQ99" s="9">
        <f t="shared" si="27"/>
        <v>98</v>
      </c>
      <c r="AR99" s="9">
        <f t="shared" si="27"/>
        <v>73</v>
      </c>
      <c r="AS99" s="9">
        <f t="shared" si="27"/>
        <v>654</v>
      </c>
      <c r="AT99" s="9">
        <f t="shared" si="27"/>
        <v>-29.990000000000236</v>
      </c>
      <c r="AU99" s="9">
        <f t="shared" si="27"/>
        <v>-338.53000000000065</v>
      </c>
      <c r="AV99" s="9">
        <f t="shared" si="27"/>
        <v>953</v>
      </c>
      <c r="AW99" s="9">
        <f t="shared" si="27"/>
        <v>1680</v>
      </c>
      <c r="AX99" s="9">
        <f t="shared" si="27"/>
        <v>18</v>
      </c>
      <c r="AY99" s="9">
        <f t="shared" si="27"/>
        <v>28</v>
      </c>
      <c r="AZ99" s="9">
        <f t="shared" si="27"/>
        <v>0</v>
      </c>
      <c r="BA99" s="9">
        <f t="shared" si="27"/>
        <v>0</v>
      </c>
      <c r="BB99" s="9">
        <f t="shared" si="27"/>
        <v>3221</v>
      </c>
      <c r="BC99" s="9">
        <f t="shared" si="27"/>
        <v>6474</v>
      </c>
      <c r="BD99" s="9">
        <f t="shared" si="27"/>
        <v>2211.8999999999987</v>
      </c>
      <c r="BE99" s="9">
        <f t="shared" si="27"/>
        <v>3811.8999999999978</v>
      </c>
      <c r="BF99" s="9">
        <f t="shared" si="27"/>
        <v>-497</v>
      </c>
      <c r="BG99" s="9">
        <f t="shared" si="27"/>
        <v>394</v>
      </c>
      <c r="BH99" s="9">
        <f t="shared" si="27"/>
        <v>350</v>
      </c>
      <c r="BI99" s="9">
        <f t="shared" si="27"/>
        <v>837</v>
      </c>
      <c r="BJ99" s="9">
        <f t="shared" si="27"/>
        <v>37</v>
      </c>
      <c r="BK99" s="9">
        <f t="shared" si="27"/>
        <v>87</v>
      </c>
      <c r="BL99" s="68" t="e">
        <f t="shared" si="19"/>
        <v>#REF!</v>
      </c>
      <c r="BM99" s="68">
        <f t="shared" si="20"/>
        <v>10143.359999999997</v>
      </c>
    </row>
    <row r="100" spans="1:65" s="7" customFormat="1" x14ac:dyDescent="0.25">
      <c r="A100" s="10" t="s">
        <v>190</v>
      </c>
      <c r="B100" s="10">
        <f>B111-B89-B78-B67-B56-B45-B34-B23-B12</f>
        <v>-24</v>
      </c>
      <c r="C100" s="10">
        <f t="shared" ref="C100:AE100" si="28">C111-C89-C78-C67-C56-C45-C34-C23-C12</f>
        <v>-39</v>
      </c>
      <c r="D100" s="10">
        <f t="shared" si="28"/>
        <v>0</v>
      </c>
      <c r="E100" s="10">
        <f t="shared" si="28"/>
        <v>1</v>
      </c>
      <c r="F100" s="10">
        <f t="shared" si="28"/>
        <v>0</v>
      </c>
      <c r="G100" s="10">
        <f t="shared" si="28"/>
        <v>0</v>
      </c>
      <c r="H100" s="10">
        <f t="shared" si="28"/>
        <v>-435</v>
      </c>
      <c r="I100" s="10">
        <f t="shared" si="28"/>
        <v>-1326</v>
      </c>
      <c r="J100" s="10">
        <f t="shared" si="28"/>
        <v>-5.6843418860808015E-14</v>
      </c>
      <c r="K100" s="10">
        <f t="shared" si="28"/>
        <v>0</v>
      </c>
      <c r="L100" s="10">
        <f t="shared" si="28"/>
        <v>225</v>
      </c>
      <c r="M100" s="10">
        <f t="shared" si="28"/>
        <v>323</v>
      </c>
      <c r="N100" s="10">
        <f t="shared" si="28"/>
        <v>-525.98</v>
      </c>
      <c r="O100" s="10">
        <f t="shared" si="28"/>
        <v>-982.2</v>
      </c>
      <c r="P100" s="10">
        <f t="shared" si="28"/>
        <v>15.879999999999949</v>
      </c>
      <c r="Q100" s="10">
        <f t="shared" si="28"/>
        <v>19.34999999999998</v>
      </c>
      <c r="R100" s="10">
        <f t="shared" si="28"/>
        <v>248.56000000000029</v>
      </c>
      <c r="S100" s="10">
        <f t="shared" si="28"/>
        <v>431.44999999999891</v>
      </c>
      <c r="T100" s="10">
        <f t="shared" si="28"/>
        <v>390</v>
      </c>
      <c r="U100" s="10">
        <f t="shared" si="28"/>
        <v>1058</v>
      </c>
      <c r="V100" s="10">
        <f t="shared" si="28"/>
        <v>-68</v>
      </c>
      <c r="W100" s="10">
        <f t="shared" si="28"/>
        <v>-767</v>
      </c>
      <c r="X100" s="10">
        <f t="shared" si="28"/>
        <v>835</v>
      </c>
      <c r="Y100" s="10">
        <f t="shared" si="28"/>
        <v>2201</v>
      </c>
      <c r="Z100" s="10">
        <f t="shared" si="28"/>
        <v>2061</v>
      </c>
      <c r="AA100" s="10">
        <f t="shared" si="28"/>
        <v>4203</v>
      </c>
      <c r="AB100" s="10">
        <f t="shared" si="28"/>
        <v>-11.429999999999993</v>
      </c>
      <c r="AC100" s="10">
        <f t="shared" si="28"/>
        <v>-26.199999999999989</v>
      </c>
      <c r="AD100" s="10">
        <f t="shared" si="28"/>
        <v>99.589999999999577</v>
      </c>
      <c r="AE100" s="10">
        <f t="shared" si="28"/>
        <v>227.43999999999949</v>
      </c>
      <c r="AF100" s="10">
        <f t="shared" ref="AF100:BK100" si="29">AF111-AF89-AF78-AF67-AF56-AF45-AF34-AF23-AF12</f>
        <v>-56.180000000000035</v>
      </c>
      <c r="AG100" s="10">
        <f t="shared" si="29"/>
        <v>-103.26999999999987</v>
      </c>
      <c r="AH100" s="10">
        <f t="shared" si="29"/>
        <v>7.2000000000002728</v>
      </c>
      <c r="AI100" s="10">
        <f t="shared" si="29"/>
        <v>8.0600000000004002</v>
      </c>
      <c r="AJ100" s="10">
        <f t="shared" si="29"/>
        <v>0</v>
      </c>
      <c r="AK100" s="10">
        <f t="shared" si="29"/>
        <v>0</v>
      </c>
      <c r="AL100" s="10">
        <f t="shared" si="29"/>
        <v>1269.1200000000017</v>
      </c>
      <c r="AM100" s="10">
        <f t="shared" si="29"/>
        <v>2401.4299999999976</v>
      </c>
      <c r="AN100" s="10" t="e">
        <f>AN111-AN89-AN78-AN67-AN56-AN45-#REF!-AN34-AN12</f>
        <v>#REF!</v>
      </c>
      <c r="AO100" s="10">
        <f t="shared" si="29"/>
        <v>1</v>
      </c>
      <c r="AP100" s="10">
        <f t="shared" si="29"/>
        <v>263</v>
      </c>
      <c r="AQ100" s="10">
        <f t="shared" si="29"/>
        <v>589</v>
      </c>
      <c r="AR100" s="10">
        <f t="shared" si="29"/>
        <v>323</v>
      </c>
      <c r="AS100" s="10">
        <f t="shared" si="29"/>
        <v>308</v>
      </c>
      <c r="AT100" s="10">
        <f t="shared" si="29"/>
        <v>28.819999999999567</v>
      </c>
      <c r="AU100" s="10">
        <f t="shared" si="29"/>
        <v>-217.29000000000076</v>
      </c>
      <c r="AV100" s="10">
        <f t="shared" si="29"/>
        <v>-195</v>
      </c>
      <c r="AW100" s="10">
        <f t="shared" si="29"/>
        <v>-15</v>
      </c>
      <c r="AX100" s="10">
        <f t="shared" si="29"/>
        <v>7</v>
      </c>
      <c r="AY100" s="10">
        <f t="shared" si="29"/>
        <v>14</v>
      </c>
      <c r="AZ100" s="10">
        <f t="shared" si="29"/>
        <v>0</v>
      </c>
      <c r="BA100" s="10">
        <f t="shared" si="29"/>
        <v>1</v>
      </c>
      <c r="BB100" s="10">
        <f t="shared" si="29"/>
        <v>-1097</v>
      </c>
      <c r="BC100" s="10">
        <f t="shared" si="29"/>
        <v>-2354</v>
      </c>
      <c r="BD100" s="10">
        <f t="shared" si="29"/>
        <v>4747.9700000000012</v>
      </c>
      <c r="BE100" s="10">
        <f t="shared" si="29"/>
        <v>9329.5800000000054</v>
      </c>
      <c r="BF100" s="10">
        <f t="shared" si="29"/>
        <v>1721</v>
      </c>
      <c r="BG100" s="10">
        <f t="shared" si="29"/>
        <v>3550</v>
      </c>
      <c r="BH100" s="10">
        <f t="shared" si="29"/>
        <v>-3269</v>
      </c>
      <c r="BI100" s="10">
        <f t="shared" si="29"/>
        <v>3260</v>
      </c>
      <c r="BJ100" s="10">
        <f t="shared" si="29"/>
        <v>99</v>
      </c>
      <c r="BK100" s="10">
        <f t="shared" si="29"/>
        <v>189</v>
      </c>
      <c r="BL100" s="63" t="e">
        <f t="shared" si="19"/>
        <v>#REF!</v>
      </c>
      <c r="BM100" s="63">
        <f t="shared" si="20"/>
        <v>22285.350000000002</v>
      </c>
    </row>
    <row r="101" spans="1:65" x14ac:dyDescent="0.25">
      <c r="A101" s="22"/>
    </row>
    <row r="102" spans="1:65" x14ac:dyDescent="0.25">
      <c r="A102" s="23" t="s">
        <v>40</v>
      </c>
    </row>
    <row r="103" spans="1:65" x14ac:dyDescent="0.25">
      <c r="A103" s="3" t="s">
        <v>0</v>
      </c>
      <c r="B103" s="147" t="s">
        <v>1</v>
      </c>
      <c r="C103" s="148"/>
      <c r="D103" s="147" t="s">
        <v>233</v>
      </c>
      <c r="E103" s="148"/>
      <c r="F103" s="147" t="s">
        <v>2</v>
      </c>
      <c r="G103" s="148"/>
      <c r="H103" s="147" t="s">
        <v>3</v>
      </c>
      <c r="I103" s="148"/>
      <c r="J103" s="147" t="s">
        <v>242</v>
      </c>
      <c r="K103" s="148"/>
      <c r="L103" s="147" t="s">
        <v>234</v>
      </c>
      <c r="M103" s="148"/>
      <c r="N103" s="147" t="s">
        <v>5</v>
      </c>
      <c r="O103" s="148"/>
      <c r="P103" s="147" t="s">
        <v>4</v>
      </c>
      <c r="Q103" s="148"/>
      <c r="R103" s="147" t="s">
        <v>6</v>
      </c>
      <c r="S103" s="148"/>
      <c r="T103" s="147" t="s">
        <v>254</v>
      </c>
      <c r="U103" s="148"/>
      <c r="V103" s="147" t="s">
        <v>7</v>
      </c>
      <c r="W103" s="148"/>
      <c r="X103" s="147" t="s">
        <v>8</v>
      </c>
      <c r="Y103" s="148"/>
      <c r="Z103" s="147" t="s">
        <v>9</v>
      </c>
      <c r="AA103" s="148"/>
      <c r="AB103" s="147" t="s">
        <v>241</v>
      </c>
      <c r="AC103" s="148"/>
      <c r="AD103" s="147" t="s">
        <v>10</v>
      </c>
      <c r="AE103" s="148"/>
      <c r="AF103" s="147" t="s">
        <v>11</v>
      </c>
      <c r="AG103" s="148"/>
      <c r="AH103" s="147" t="s">
        <v>235</v>
      </c>
      <c r="AI103" s="148"/>
      <c r="AJ103" s="147" t="s">
        <v>253</v>
      </c>
      <c r="AK103" s="148"/>
      <c r="AL103" s="147" t="s">
        <v>12</v>
      </c>
      <c r="AM103" s="148"/>
      <c r="AN103" s="147" t="s">
        <v>236</v>
      </c>
      <c r="AO103" s="148"/>
      <c r="AP103" s="147" t="s">
        <v>237</v>
      </c>
      <c r="AQ103" s="148"/>
      <c r="AR103" s="147" t="s">
        <v>240</v>
      </c>
      <c r="AS103" s="148"/>
      <c r="AT103" s="147" t="s">
        <v>13</v>
      </c>
      <c r="AU103" s="148"/>
      <c r="AV103" s="147" t="s">
        <v>14</v>
      </c>
      <c r="AW103" s="148"/>
      <c r="AX103" s="147" t="s">
        <v>15</v>
      </c>
      <c r="AY103" s="148"/>
      <c r="AZ103" s="147" t="s">
        <v>16</v>
      </c>
      <c r="BA103" s="148"/>
      <c r="BB103" s="147" t="s">
        <v>17</v>
      </c>
      <c r="BC103" s="148"/>
      <c r="BD103" s="147" t="s">
        <v>238</v>
      </c>
      <c r="BE103" s="148"/>
      <c r="BF103" s="147" t="s">
        <v>239</v>
      </c>
      <c r="BG103" s="148"/>
      <c r="BH103" s="147" t="s">
        <v>18</v>
      </c>
      <c r="BI103" s="148"/>
      <c r="BJ103" s="147" t="s">
        <v>19</v>
      </c>
      <c r="BK103" s="148"/>
      <c r="BL103" s="149" t="s">
        <v>20</v>
      </c>
      <c r="BM103" s="150"/>
    </row>
    <row r="104" spans="1:65" ht="30" x14ac:dyDescent="0.25">
      <c r="A104" s="3"/>
      <c r="B104" s="53" t="s">
        <v>243</v>
      </c>
      <c r="C104" s="54" t="s">
        <v>244</v>
      </c>
      <c r="D104" s="53" t="s">
        <v>243</v>
      </c>
      <c r="E104" s="54" t="s">
        <v>244</v>
      </c>
      <c r="F104" s="53" t="s">
        <v>243</v>
      </c>
      <c r="G104" s="54" t="s">
        <v>244</v>
      </c>
      <c r="H104" s="53" t="s">
        <v>243</v>
      </c>
      <c r="I104" s="54" t="s">
        <v>244</v>
      </c>
      <c r="J104" s="53" t="s">
        <v>243</v>
      </c>
      <c r="K104" s="54" t="s">
        <v>244</v>
      </c>
      <c r="L104" s="53" t="s">
        <v>243</v>
      </c>
      <c r="M104" s="54" t="s">
        <v>244</v>
      </c>
      <c r="N104" s="53" t="s">
        <v>243</v>
      </c>
      <c r="O104" s="54" t="s">
        <v>244</v>
      </c>
      <c r="P104" s="53" t="s">
        <v>243</v>
      </c>
      <c r="Q104" s="54" t="s">
        <v>244</v>
      </c>
      <c r="R104" s="53" t="s">
        <v>243</v>
      </c>
      <c r="S104" s="54" t="s">
        <v>244</v>
      </c>
      <c r="T104" s="53" t="s">
        <v>243</v>
      </c>
      <c r="U104" s="54" t="s">
        <v>244</v>
      </c>
      <c r="V104" s="53" t="s">
        <v>243</v>
      </c>
      <c r="W104" s="54" t="s">
        <v>244</v>
      </c>
      <c r="X104" s="53" t="s">
        <v>243</v>
      </c>
      <c r="Y104" s="54" t="s">
        <v>244</v>
      </c>
      <c r="Z104" s="53" t="s">
        <v>243</v>
      </c>
      <c r="AA104" s="54" t="s">
        <v>244</v>
      </c>
      <c r="AB104" s="53" t="s">
        <v>243</v>
      </c>
      <c r="AC104" s="54" t="s">
        <v>244</v>
      </c>
      <c r="AD104" s="53" t="s">
        <v>243</v>
      </c>
      <c r="AE104" s="54" t="s">
        <v>244</v>
      </c>
      <c r="AF104" s="53" t="s">
        <v>243</v>
      </c>
      <c r="AG104" s="54" t="s">
        <v>244</v>
      </c>
      <c r="AH104" s="53" t="s">
        <v>243</v>
      </c>
      <c r="AI104" s="54" t="s">
        <v>244</v>
      </c>
      <c r="AJ104" s="53" t="s">
        <v>243</v>
      </c>
      <c r="AK104" s="54" t="s">
        <v>244</v>
      </c>
      <c r="AL104" s="53" t="s">
        <v>243</v>
      </c>
      <c r="AM104" s="54" t="s">
        <v>244</v>
      </c>
      <c r="AN104" s="53" t="s">
        <v>243</v>
      </c>
      <c r="AO104" s="54" t="s">
        <v>244</v>
      </c>
      <c r="AP104" s="53" t="s">
        <v>243</v>
      </c>
      <c r="AQ104" s="54" t="s">
        <v>244</v>
      </c>
      <c r="AR104" s="53" t="s">
        <v>243</v>
      </c>
      <c r="AS104" s="54" t="s">
        <v>244</v>
      </c>
      <c r="AT104" s="53" t="s">
        <v>243</v>
      </c>
      <c r="AU104" s="54" t="s">
        <v>244</v>
      </c>
      <c r="AV104" s="53" t="s">
        <v>243</v>
      </c>
      <c r="AW104" s="54" t="s">
        <v>244</v>
      </c>
      <c r="AX104" s="53" t="s">
        <v>243</v>
      </c>
      <c r="AY104" s="54" t="s">
        <v>244</v>
      </c>
      <c r="AZ104" s="53" t="s">
        <v>243</v>
      </c>
      <c r="BA104" s="54" t="s">
        <v>244</v>
      </c>
      <c r="BB104" s="53" t="s">
        <v>243</v>
      </c>
      <c r="BC104" s="54" t="s">
        <v>244</v>
      </c>
      <c r="BD104" s="53" t="s">
        <v>243</v>
      </c>
      <c r="BE104" s="54" t="s">
        <v>244</v>
      </c>
      <c r="BF104" s="53" t="s">
        <v>243</v>
      </c>
      <c r="BG104" s="54" t="s">
        <v>244</v>
      </c>
      <c r="BH104" s="53" t="s">
        <v>243</v>
      </c>
      <c r="BI104" s="54" t="s">
        <v>244</v>
      </c>
      <c r="BJ104" s="53" t="s">
        <v>243</v>
      </c>
      <c r="BK104" s="54" t="s">
        <v>244</v>
      </c>
      <c r="BL104" s="105" t="s">
        <v>243</v>
      </c>
      <c r="BM104" s="106" t="s">
        <v>244</v>
      </c>
    </row>
    <row r="105" spans="1:65" x14ac:dyDescent="0.25">
      <c r="A105" s="24" t="s">
        <v>304</v>
      </c>
      <c r="B105" s="92">
        <v>481</v>
      </c>
      <c r="C105" s="92">
        <v>949</v>
      </c>
      <c r="D105" s="92">
        <v>4435</v>
      </c>
      <c r="E105" s="92">
        <v>8626</v>
      </c>
      <c r="F105" s="92">
        <v>726</v>
      </c>
      <c r="G105" s="92">
        <v>1421</v>
      </c>
      <c r="H105" s="76"/>
      <c r="I105" s="76"/>
      <c r="J105" s="76"/>
      <c r="K105" s="76"/>
      <c r="L105" s="92">
        <v>11405</v>
      </c>
      <c r="M105" s="92">
        <v>19636</v>
      </c>
      <c r="N105" s="76">
        <v>256.76</v>
      </c>
      <c r="O105" s="76">
        <v>324.16000000000003</v>
      </c>
      <c r="P105" s="92">
        <v>576.84</v>
      </c>
      <c r="Q105" s="92">
        <v>1025.53</v>
      </c>
      <c r="R105" s="92">
        <v>5904.78</v>
      </c>
      <c r="S105" s="92">
        <v>11119.09</v>
      </c>
      <c r="T105" s="92">
        <v>4615</v>
      </c>
      <c r="U105" s="92">
        <v>8730</v>
      </c>
      <c r="V105" s="92">
        <v>24274</v>
      </c>
      <c r="W105" s="92">
        <v>45462</v>
      </c>
      <c r="X105" s="92">
        <v>27726</v>
      </c>
      <c r="Y105" s="92">
        <v>54781</v>
      </c>
      <c r="Z105" s="92">
        <v>8883</v>
      </c>
      <c r="AA105" s="92">
        <v>18613</v>
      </c>
      <c r="AB105" s="92">
        <v>1070.75</v>
      </c>
      <c r="AC105" s="92">
        <v>1850.14</v>
      </c>
      <c r="AD105" s="76"/>
      <c r="AE105" s="76"/>
      <c r="AF105" s="69">
        <v>2072.84</v>
      </c>
      <c r="AG105" s="24">
        <v>3633.49</v>
      </c>
      <c r="AH105" s="92">
        <v>2426.5500000000002</v>
      </c>
      <c r="AI105" s="92">
        <v>4470.2</v>
      </c>
      <c r="AJ105" s="92">
        <v>6659.74</v>
      </c>
      <c r="AK105" s="92">
        <v>12695</v>
      </c>
      <c r="AL105" s="76"/>
      <c r="AM105" s="76"/>
      <c r="AN105" s="92">
        <v>220</v>
      </c>
      <c r="AO105" s="92">
        <v>248</v>
      </c>
      <c r="AP105" s="92">
        <v>1136</v>
      </c>
      <c r="AQ105" s="92">
        <v>2088</v>
      </c>
      <c r="AR105" s="76">
        <v>10319</v>
      </c>
      <c r="AS105" s="76">
        <v>20779</v>
      </c>
      <c r="AT105" s="76"/>
      <c r="AU105" s="76"/>
      <c r="AV105" s="92">
        <v>13305</v>
      </c>
      <c r="AW105" s="92">
        <v>23093</v>
      </c>
      <c r="AX105" s="92">
        <v>2160</v>
      </c>
      <c r="AY105" s="92">
        <v>3933</v>
      </c>
      <c r="AZ105" s="92">
        <v>34414</v>
      </c>
      <c r="BA105" s="92">
        <v>60783</v>
      </c>
      <c r="BB105" s="92">
        <v>16961</v>
      </c>
      <c r="BC105" s="92">
        <v>31887</v>
      </c>
      <c r="BD105" s="76"/>
      <c r="BE105" s="76"/>
      <c r="BF105" s="92">
        <v>25387</v>
      </c>
      <c r="BG105" s="92">
        <v>46513</v>
      </c>
      <c r="BH105" s="9"/>
      <c r="BI105" s="9"/>
      <c r="BJ105" s="92">
        <v>5817</v>
      </c>
      <c r="BK105" s="92">
        <v>9519</v>
      </c>
      <c r="BL105" s="68">
        <f t="shared" ref="BL105:BL111" si="30">SUM(B105+D105+F105+H105+J105+L105+N105+P105+R105+T105+V105+X105+Z105+AB105+AD105+AF105+AH105+AJ105+AL105+AN105+AP105+AR105+AT105+AV105+AX105+AZ105+BB105+BD105+BF105+BH105+BJ105)</f>
        <v>211232.26</v>
      </c>
      <c r="BM105" s="68">
        <f t="shared" ref="BM105:BM111" si="31">SUM(C105+E105+G105+I105+K105+M105+O105+Q105+S105+U105+W105+Y105+AA105+AC105+AE105+AG105+AI105+AK105+AM105+AO105+AQ105+AS105+AU105+AW105+AY105+BA105+BC105+BE105+BG105+BI105+BK105)</f>
        <v>392178.61</v>
      </c>
    </row>
    <row r="106" spans="1:65" s="71" customFormat="1" x14ac:dyDescent="0.25">
      <c r="A106" s="24" t="s">
        <v>305</v>
      </c>
      <c r="B106" s="92">
        <v>42</v>
      </c>
      <c r="C106" s="92">
        <v>75</v>
      </c>
      <c r="D106" s="92">
        <v>532</v>
      </c>
      <c r="E106" s="92">
        <v>770</v>
      </c>
      <c r="F106" s="92">
        <v>0</v>
      </c>
      <c r="G106" s="92">
        <v>0</v>
      </c>
      <c r="H106" s="92">
        <v>2078</v>
      </c>
      <c r="I106" s="92">
        <v>4230</v>
      </c>
      <c r="J106" s="92"/>
      <c r="K106" s="92"/>
      <c r="L106" s="92">
        <v>1167</v>
      </c>
      <c r="M106" s="92">
        <v>2059</v>
      </c>
      <c r="N106" s="92"/>
      <c r="O106" s="92"/>
      <c r="P106" s="92">
        <v>90.94</v>
      </c>
      <c r="Q106" s="92">
        <v>185.27</v>
      </c>
      <c r="R106" s="92">
        <v>101.09</v>
      </c>
      <c r="S106" s="92">
        <v>161.21</v>
      </c>
      <c r="T106" s="92">
        <v>966</v>
      </c>
      <c r="U106" s="92">
        <v>1988</v>
      </c>
      <c r="V106" s="92">
        <v>2697</v>
      </c>
      <c r="W106" s="92">
        <v>5326</v>
      </c>
      <c r="X106" s="92">
        <v>5408</v>
      </c>
      <c r="Y106" s="92">
        <v>10748</v>
      </c>
      <c r="Z106" s="92">
        <v>2159</v>
      </c>
      <c r="AA106" s="92">
        <v>4674</v>
      </c>
      <c r="AB106" s="92">
        <v>129.76</v>
      </c>
      <c r="AC106" s="92">
        <v>252.37</v>
      </c>
      <c r="AD106" s="92"/>
      <c r="AE106" s="92"/>
      <c r="AF106" s="69">
        <v>480.88</v>
      </c>
      <c r="AG106" s="24">
        <v>883.5</v>
      </c>
      <c r="AH106" s="92">
        <v>323.11</v>
      </c>
      <c r="AI106" s="92">
        <v>384.38</v>
      </c>
      <c r="AJ106" s="92">
        <v>1069.7</v>
      </c>
      <c r="AK106" s="92">
        <v>2098.67</v>
      </c>
      <c r="AL106" s="92"/>
      <c r="AM106" s="92"/>
      <c r="AN106" s="92">
        <v>5</v>
      </c>
      <c r="AO106" s="92">
        <v>5</v>
      </c>
      <c r="AP106" s="92">
        <v>163</v>
      </c>
      <c r="AQ106" s="92">
        <v>312</v>
      </c>
      <c r="AR106" s="92">
        <v>1944</v>
      </c>
      <c r="AS106" s="92">
        <v>3795</v>
      </c>
      <c r="AT106" s="92"/>
      <c r="AU106" s="92"/>
      <c r="AV106" s="92">
        <v>1904</v>
      </c>
      <c r="AW106" s="92">
        <v>3632</v>
      </c>
      <c r="AX106" s="92">
        <v>270</v>
      </c>
      <c r="AY106" s="92">
        <v>454</v>
      </c>
      <c r="AZ106" s="92">
        <v>3256</v>
      </c>
      <c r="BA106" s="92">
        <v>5809</v>
      </c>
      <c r="BB106" s="92">
        <v>3268</v>
      </c>
      <c r="BC106" s="92">
        <v>6070</v>
      </c>
      <c r="BD106" s="92"/>
      <c r="BE106" s="92"/>
      <c r="BF106" s="92">
        <v>0</v>
      </c>
      <c r="BG106" s="92">
        <v>0</v>
      </c>
      <c r="BH106" s="92"/>
      <c r="BI106" s="92"/>
      <c r="BJ106" s="92">
        <v>1009</v>
      </c>
      <c r="BK106" s="92">
        <v>1830</v>
      </c>
      <c r="BL106" s="68">
        <f t="shared" si="30"/>
        <v>29063.48</v>
      </c>
      <c r="BM106" s="68">
        <f t="shared" si="31"/>
        <v>55742.400000000001</v>
      </c>
    </row>
    <row r="107" spans="1:65" s="71" customFormat="1" x14ac:dyDescent="0.25">
      <c r="A107" s="24" t="s">
        <v>306</v>
      </c>
      <c r="B107" s="92"/>
      <c r="C107" s="92"/>
      <c r="D107" s="92"/>
      <c r="E107" s="92"/>
      <c r="F107" s="92">
        <v>0</v>
      </c>
      <c r="G107" s="92">
        <v>0</v>
      </c>
      <c r="H107" s="92">
        <v>18010</v>
      </c>
      <c r="I107" s="92">
        <v>34830</v>
      </c>
      <c r="J107" s="92"/>
      <c r="K107" s="92"/>
      <c r="L107" s="92">
        <v>50</v>
      </c>
      <c r="M107" s="92">
        <v>80</v>
      </c>
      <c r="N107" s="92"/>
      <c r="O107" s="92"/>
      <c r="P107" s="92"/>
      <c r="Q107" s="92"/>
      <c r="R107" s="92">
        <v>493.85</v>
      </c>
      <c r="S107" s="92">
        <v>954.57</v>
      </c>
      <c r="T107" s="92">
        <v>109</v>
      </c>
      <c r="U107" s="92">
        <v>163</v>
      </c>
      <c r="V107" s="92">
        <v>269</v>
      </c>
      <c r="W107" s="92">
        <v>445</v>
      </c>
      <c r="X107" s="92">
        <v>1260</v>
      </c>
      <c r="Y107" s="92">
        <v>2195</v>
      </c>
      <c r="Z107" s="92">
        <v>5868</v>
      </c>
      <c r="AA107" s="92">
        <v>9923</v>
      </c>
      <c r="AB107" s="92"/>
      <c r="AC107" s="92"/>
      <c r="AD107" s="92"/>
      <c r="AE107" s="92"/>
      <c r="AF107" s="69">
        <v>40.950000000000003</v>
      </c>
      <c r="AG107" s="24">
        <v>82.6</v>
      </c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>
        <v>199</v>
      </c>
      <c r="AS107" s="92">
        <v>347</v>
      </c>
      <c r="AT107" s="92"/>
      <c r="AU107" s="92"/>
      <c r="AV107" s="92">
        <v>4</v>
      </c>
      <c r="AW107" s="92">
        <v>6</v>
      </c>
      <c r="AX107" s="92">
        <v>11</v>
      </c>
      <c r="AY107" s="92">
        <v>23</v>
      </c>
      <c r="AZ107" s="92"/>
      <c r="BA107" s="92"/>
      <c r="BB107" s="92">
        <v>2228</v>
      </c>
      <c r="BC107" s="92">
        <v>4025</v>
      </c>
      <c r="BD107" s="92"/>
      <c r="BE107" s="92"/>
      <c r="BF107" s="92">
        <v>0</v>
      </c>
      <c r="BG107" s="92">
        <v>0</v>
      </c>
      <c r="BH107" s="92"/>
      <c r="BI107" s="92"/>
      <c r="BJ107" s="92"/>
      <c r="BK107" s="92"/>
      <c r="BL107" s="68">
        <f t="shared" si="30"/>
        <v>28542.799999999999</v>
      </c>
      <c r="BM107" s="68">
        <f t="shared" si="31"/>
        <v>53074.17</v>
      </c>
    </row>
    <row r="108" spans="1:65" s="7" customFormat="1" x14ac:dyDescent="0.25">
      <c r="A108" s="10" t="s">
        <v>307</v>
      </c>
      <c r="B108" s="10">
        <v>523</v>
      </c>
      <c r="C108" s="10">
        <v>1024</v>
      </c>
      <c r="D108" s="10">
        <v>4968</v>
      </c>
      <c r="E108" s="10">
        <v>9396</v>
      </c>
      <c r="F108" s="10">
        <v>726</v>
      </c>
      <c r="G108" s="10">
        <v>1421</v>
      </c>
      <c r="H108" s="10">
        <v>20088</v>
      </c>
      <c r="I108" s="10">
        <v>39060</v>
      </c>
      <c r="J108" s="10">
        <v>11312.61</v>
      </c>
      <c r="K108" s="10">
        <v>20955.240000000002</v>
      </c>
      <c r="L108" s="10">
        <v>12622</v>
      </c>
      <c r="M108" s="10">
        <v>21776</v>
      </c>
      <c r="N108" s="10">
        <v>256.76</v>
      </c>
      <c r="O108" s="10">
        <v>324.16000000000003</v>
      </c>
      <c r="P108" s="10">
        <v>667.78</v>
      </c>
      <c r="Q108" s="10">
        <v>1210.8</v>
      </c>
      <c r="R108" s="10">
        <v>6499.72</v>
      </c>
      <c r="S108" s="10">
        <v>12234.88</v>
      </c>
      <c r="T108" s="10">
        <v>5690</v>
      </c>
      <c r="U108" s="10">
        <v>10881</v>
      </c>
      <c r="V108" s="10">
        <v>27241</v>
      </c>
      <c r="W108" s="10">
        <v>51233</v>
      </c>
      <c r="X108" s="10">
        <v>34394</v>
      </c>
      <c r="Y108" s="10">
        <v>67724</v>
      </c>
      <c r="Z108" s="10">
        <v>16910</v>
      </c>
      <c r="AA108" s="10">
        <v>33210</v>
      </c>
      <c r="AB108" s="10">
        <v>1200.51</v>
      </c>
      <c r="AC108" s="10">
        <v>2102.5100000000002</v>
      </c>
      <c r="AD108" s="10">
        <v>3715.97</v>
      </c>
      <c r="AE108" s="10">
        <v>7020.2</v>
      </c>
      <c r="AF108" s="10">
        <v>2594.67</v>
      </c>
      <c r="AG108" s="10">
        <v>4599.59</v>
      </c>
      <c r="AH108" s="10">
        <v>2749.66</v>
      </c>
      <c r="AI108" s="10">
        <v>4854.59</v>
      </c>
      <c r="AJ108" s="10">
        <v>7729.43</v>
      </c>
      <c r="AK108" s="10">
        <v>14793.67</v>
      </c>
      <c r="AL108" s="10">
        <v>23175.57</v>
      </c>
      <c r="AM108" s="10">
        <v>43230.87</v>
      </c>
      <c r="AN108" s="10">
        <v>225</v>
      </c>
      <c r="AO108" s="10">
        <v>253</v>
      </c>
      <c r="AP108" s="10">
        <v>1299</v>
      </c>
      <c r="AQ108" s="10">
        <v>2400</v>
      </c>
      <c r="AR108" s="10">
        <v>12462</v>
      </c>
      <c r="AS108" s="10">
        <v>24921</v>
      </c>
      <c r="AT108" s="10">
        <v>7389.58</v>
      </c>
      <c r="AU108" s="10">
        <v>13912.19</v>
      </c>
      <c r="AV108" s="10">
        <v>15213</v>
      </c>
      <c r="AW108" s="10">
        <v>26731</v>
      </c>
      <c r="AX108" s="10">
        <v>2441</v>
      </c>
      <c r="AY108" s="10">
        <v>4409</v>
      </c>
      <c r="AZ108" s="10">
        <v>37670</v>
      </c>
      <c r="BA108" s="10">
        <v>66592</v>
      </c>
      <c r="BB108" s="10">
        <v>22457</v>
      </c>
      <c r="BC108" s="10">
        <v>41982</v>
      </c>
      <c r="BD108" s="10">
        <v>61812.7</v>
      </c>
      <c r="BE108" s="10">
        <v>125094.18</v>
      </c>
      <c r="BF108" s="10">
        <v>24979</v>
      </c>
      <c r="BG108" s="10">
        <v>46105</v>
      </c>
      <c r="BH108" s="10">
        <v>24987</v>
      </c>
      <c r="BI108" s="10">
        <v>47326</v>
      </c>
      <c r="BJ108" s="10">
        <v>6826</v>
      </c>
      <c r="BK108" s="10">
        <v>11349</v>
      </c>
      <c r="BL108" s="63">
        <f t="shared" si="30"/>
        <v>400825.96</v>
      </c>
      <c r="BM108" s="63">
        <f t="shared" si="31"/>
        <v>758125.88000000012</v>
      </c>
    </row>
    <row r="109" spans="1:65" x14ac:dyDescent="0.25">
      <c r="A109" s="24" t="s">
        <v>308</v>
      </c>
      <c r="B109" s="92"/>
      <c r="C109" s="92"/>
      <c r="D109" s="92"/>
      <c r="E109" s="92"/>
      <c r="F109" s="92">
        <v>0</v>
      </c>
      <c r="G109" s="92">
        <v>0</v>
      </c>
      <c r="H109" s="92">
        <v>313</v>
      </c>
      <c r="I109" s="92">
        <v>502</v>
      </c>
      <c r="J109" s="92">
        <v>-401.58</v>
      </c>
      <c r="K109" s="92">
        <v>-390.46</v>
      </c>
      <c r="L109" s="92">
        <v>19</v>
      </c>
      <c r="M109" s="92">
        <v>25</v>
      </c>
      <c r="N109" s="92"/>
      <c r="O109" s="92"/>
      <c r="P109" s="92">
        <v>34.450000000000003</v>
      </c>
      <c r="Q109" s="92">
        <v>60.25</v>
      </c>
      <c r="R109" s="92">
        <v>127.75</v>
      </c>
      <c r="S109" s="92">
        <v>465.58</v>
      </c>
      <c r="T109" s="92">
        <v>1843</v>
      </c>
      <c r="U109" s="92">
        <v>3737</v>
      </c>
      <c r="V109" s="92">
        <v>499</v>
      </c>
      <c r="W109" s="92">
        <v>1454</v>
      </c>
      <c r="X109" s="92">
        <v>999</v>
      </c>
      <c r="Y109" s="92">
        <v>1930</v>
      </c>
      <c r="Z109" s="92">
        <v>714</v>
      </c>
      <c r="AA109" s="92">
        <v>879</v>
      </c>
      <c r="AB109" s="92">
        <v>18.77</v>
      </c>
      <c r="AC109" s="92">
        <v>37.15</v>
      </c>
      <c r="AD109" s="92">
        <v>30.54</v>
      </c>
      <c r="AE109" s="92">
        <v>43.42</v>
      </c>
      <c r="AF109" s="69">
        <v>77.13</v>
      </c>
      <c r="AG109" s="24">
        <v>320.02999999999997</v>
      </c>
      <c r="AH109" s="92"/>
      <c r="AI109" s="92"/>
      <c r="AJ109" s="92"/>
      <c r="AK109" s="92"/>
      <c r="AL109" s="92">
        <v>1446.11</v>
      </c>
      <c r="AM109" s="92">
        <v>1932.92</v>
      </c>
      <c r="AN109" s="92">
        <v>5</v>
      </c>
      <c r="AO109" s="92">
        <v>6</v>
      </c>
      <c r="AP109" s="92">
        <v>38</v>
      </c>
      <c r="AQ109" s="92">
        <v>179</v>
      </c>
      <c r="AR109" s="76">
        <v>177</v>
      </c>
      <c r="AS109" s="76">
        <v>224</v>
      </c>
      <c r="AT109" s="92">
        <v>214.23</v>
      </c>
      <c r="AU109" s="92">
        <v>672.36</v>
      </c>
      <c r="AV109" s="92">
        <v>287</v>
      </c>
      <c r="AW109" s="92">
        <v>351</v>
      </c>
      <c r="AX109" s="92">
        <v>46</v>
      </c>
      <c r="AY109" s="92">
        <v>60</v>
      </c>
      <c r="AZ109" s="92"/>
      <c r="BA109" s="92"/>
      <c r="BB109" s="92">
        <v>685</v>
      </c>
      <c r="BC109" s="92">
        <v>1425</v>
      </c>
      <c r="BD109" s="92">
        <v>5818.43</v>
      </c>
      <c r="BE109" s="92">
        <v>10421.39</v>
      </c>
      <c r="BF109" s="92">
        <v>1326</v>
      </c>
      <c r="BG109" s="92">
        <v>2951</v>
      </c>
      <c r="BH109" s="92">
        <v>495</v>
      </c>
      <c r="BI109" s="92">
        <v>1761</v>
      </c>
      <c r="BJ109" s="92">
        <v>23</v>
      </c>
      <c r="BK109" s="92">
        <v>30</v>
      </c>
      <c r="BL109" s="68">
        <f t="shared" si="30"/>
        <v>14834.83</v>
      </c>
      <c r="BM109" s="68">
        <f t="shared" si="31"/>
        <v>29076.639999999999</v>
      </c>
    </row>
    <row r="110" spans="1:65" x14ac:dyDescent="0.25">
      <c r="A110" s="24" t="s">
        <v>309</v>
      </c>
      <c r="B110" s="92">
        <v>1165</v>
      </c>
      <c r="C110" s="92">
        <v>1932</v>
      </c>
      <c r="D110" s="92">
        <v>2996</v>
      </c>
      <c r="E110" s="92">
        <v>7446</v>
      </c>
      <c r="F110" s="92">
        <v>15238</v>
      </c>
      <c r="G110" s="92">
        <v>15780</v>
      </c>
      <c r="H110" s="92">
        <v>-29297</v>
      </c>
      <c r="I110" s="92">
        <v>-53454</v>
      </c>
      <c r="J110" s="92">
        <v>9451.56</v>
      </c>
      <c r="K110" s="92">
        <v>18062.89</v>
      </c>
      <c r="L110" s="92">
        <v>6886</v>
      </c>
      <c r="M110" s="92">
        <v>15192</v>
      </c>
      <c r="N110" s="92">
        <v>782.74</v>
      </c>
      <c r="O110" s="92">
        <v>1306.3599999999999</v>
      </c>
      <c r="P110" s="92">
        <v>365.27</v>
      </c>
      <c r="Q110" s="92">
        <v>631.57000000000005</v>
      </c>
      <c r="R110" s="92">
        <v>4957.08</v>
      </c>
      <c r="S110" s="92">
        <v>10587.12</v>
      </c>
      <c r="T110" s="92">
        <v>-3075</v>
      </c>
      <c r="U110" s="92">
        <v>-7928</v>
      </c>
      <c r="V110" s="92">
        <v>-39848</v>
      </c>
      <c r="W110" s="92">
        <v>-70276</v>
      </c>
      <c r="X110" s="92">
        <v>21039</v>
      </c>
      <c r="Y110" s="92">
        <v>42544</v>
      </c>
      <c r="Z110" s="92">
        <v>9945</v>
      </c>
      <c r="AA110" s="92">
        <v>17947</v>
      </c>
      <c r="AB110" s="92">
        <v>825.43</v>
      </c>
      <c r="AC110" s="92">
        <v>1421.8</v>
      </c>
      <c r="AD110" s="92">
        <v>600.66999999999996</v>
      </c>
      <c r="AE110" s="92">
        <v>1544.14</v>
      </c>
      <c r="AF110" s="69">
        <v>-2781.74</v>
      </c>
      <c r="AG110" s="24">
        <v>-6233.89</v>
      </c>
      <c r="AH110" s="92">
        <v>311.99</v>
      </c>
      <c r="AI110" s="92">
        <v>443.46</v>
      </c>
      <c r="AJ110" s="92">
        <v>6769.44</v>
      </c>
      <c r="AK110" s="92">
        <v>12275.63</v>
      </c>
      <c r="AL110" s="92">
        <v>3672.18</v>
      </c>
      <c r="AM110" s="92">
        <v>6012.48</v>
      </c>
      <c r="AN110" s="92">
        <v>-69</v>
      </c>
      <c r="AO110" s="92">
        <v>-66</v>
      </c>
      <c r="AP110" s="92">
        <v>285</v>
      </c>
      <c r="AQ110" s="92">
        <v>462</v>
      </c>
      <c r="AR110" s="76">
        <v>14482</v>
      </c>
      <c r="AS110" s="76">
        <v>27567</v>
      </c>
      <c r="AT110" s="92">
        <v>-3393.23</v>
      </c>
      <c r="AU110" s="92">
        <v>-8803.61</v>
      </c>
      <c r="AV110" s="92">
        <v>27307</v>
      </c>
      <c r="AW110" s="92">
        <v>35401</v>
      </c>
      <c r="AX110" s="92">
        <v>268</v>
      </c>
      <c r="AY110" s="92">
        <v>488</v>
      </c>
      <c r="AZ110" s="92">
        <v>1701</v>
      </c>
      <c r="BA110" s="92">
        <v>3974</v>
      </c>
      <c r="BB110" s="92">
        <v>14733</v>
      </c>
      <c r="BC110" s="92">
        <v>31347</v>
      </c>
      <c r="BD110" s="92">
        <v>14629.51</v>
      </c>
      <c r="BE110" s="92">
        <v>32557.79</v>
      </c>
      <c r="BF110" s="92">
        <v>1969</v>
      </c>
      <c r="BG110" s="92">
        <v>7863</v>
      </c>
      <c r="BH110" s="92">
        <v>3609</v>
      </c>
      <c r="BI110" s="92">
        <v>8597</v>
      </c>
      <c r="BJ110" s="92">
        <v>8387</v>
      </c>
      <c r="BK110" s="92">
        <v>9885</v>
      </c>
      <c r="BL110" s="68">
        <f t="shared" si="30"/>
        <v>93911.9</v>
      </c>
      <c r="BM110" s="68">
        <f t="shared" si="31"/>
        <v>164506.74</v>
      </c>
    </row>
    <row r="111" spans="1:65" s="7" customFormat="1" x14ac:dyDescent="0.25">
      <c r="A111" s="10" t="s">
        <v>190</v>
      </c>
      <c r="B111" s="10">
        <v>-642</v>
      </c>
      <c r="C111" s="10">
        <v>-908</v>
      </c>
      <c r="D111" s="10">
        <v>1971</v>
      </c>
      <c r="E111" s="10">
        <v>1950</v>
      </c>
      <c r="F111" s="10">
        <v>-14512</v>
      </c>
      <c r="G111" s="10">
        <v>-14359</v>
      </c>
      <c r="H111" s="10">
        <v>-8895</v>
      </c>
      <c r="I111" s="10">
        <v>-13892</v>
      </c>
      <c r="J111" s="10">
        <v>1459.47</v>
      </c>
      <c r="K111" s="10">
        <v>2501.89</v>
      </c>
      <c r="L111" s="10">
        <v>5755</v>
      </c>
      <c r="M111" s="10">
        <v>6609</v>
      </c>
      <c r="N111" s="10">
        <v>-525.98</v>
      </c>
      <c r="O111" s="10">
        <v>-982.2</v>
      </c>
      <c r="P111" s="10">
        <v>336.96</v>
      </c>
      <c r="Q111" s="10">
        <v>639.48</v>
      </c>
      <c r="R111" s="10">
        <v>1670.39</v>
      </c>
      <c r="S111" s="10">
        <v>2113.35</v>
      </c>
      <c r="T111" s="10">
        <v>4459</v>
      </c>
      <c r="U111" s="10">
        <v>6690</v>
      </c>
      <c r="V111" s="10">
        <v>-12108</v>
      </c>
      <c r="W111" s="10">
        <v>-17589</v>
      </c>
      <c r="X111" s="10">
        <v>14354</v>
      </c>
      <c r="Y111" s="10">
        <v>27110</v>
      </c>
      <c r="Z111" s="10">
        <v>7679</v>
      </c>
      <c r="AA111" s="10">
        <v>16142</v>
      </c>
      <c r="AB111" s="10">
        <v>393.85</v>
      </c>
      <c r="AC111" s="10">
        <v>717.86</v>
      </c>
      <c r="AD111" s="10">
        <v>3145.85</v>
      </c>
      <c r="AE111" s="10">
        <v>5519.49</v>
      </c>
      <c r="AF111" s="10">
        <v>-109.94</v>
      </c>
      <c r="AG111" s="10">
        <v>-1314.27</v>
      </c>
      <c r="AH111" s="10">
        <v>2437.67</v>
      </c>
      <c r="AI111" s="10">
        <v>4411.12</v>
      </c>
      <c r="AJ111" s="10">
        <v>959.99</v>
      </c>
      <c r="AK111" s="10">
        <v>2518.04</v>
      </c>
      <c r="AL111" s="10">
        <v>20949.5</v>
      </c>
      <c r="AM111" s="10">
        <v>39151.32</v>
      </c>
      <c r="AN111" s="10">
        <v>161</v>
      </c>
      <c r="AO111" s="10">
        <v>193</v>
      </c>
      <c r="AP111" s="10">
        <v>1052</v>
      </c>
      <c r="AQ111" s="10">
        <v>2117</v>
      </c>
      <c r="AR111" s="10">
        <v>-1843</v>
      </c>
      <c r="AS111" s="10">
        <v>-2422</v>
      </c>
      <c r="AT111" s="10">
        <v>4210.58</v>
      </c>
      <c r="AU111" s="10">
        <v>5780.94</v>
      </c>
      <c r="AV111" s="10">
        <v>-11806</v>
      </c>
      <c r="AW111" s="10">
        <v>-8319</v>
      </c>
      <c r="AX111" s="10">
        <v>2219</v>
      </c>
      <c r="AY111" s="10">
        <v>3980</v>
      </c>
      <c r="AZ111" s="10">
        <v>35969</v>
      </c>
      <c r="BA111" s="10">
        <v>62619</v>
      </c>
      <c r="BB111" s="10">
        <v>8408</v>
      </c>
      <c r="BC111" s="10">
        <v>12060</v>
      </c>
      <c r="BD111" s="10">
        <v>53001.62</v>
      </c>
      <c r="BE111" s="10">
        <v>102957.78</v>
      </c>
      <c r="BF111" s="10">
        <v>24529</v>
      </c>
      <c r="BG111" s="10">
        <v>41601</v>
      </c>
      <c r="BH111" s="10">
        <v>21873</v>
      </c>
      <c r="BI111" s="10">
        <v>40490</v>
      </c>
      <c r="BJ111" s="10">
        <v>-1538</v>
      </c>
      <c r="BK111" s="10">
        <v>1495</v>
      </c>
      <c r="BL111" s="63">
        <f t="shared" si="30"/>
        <v>165014.96</v>
      </c>
      <c r="BM111" s="63">
        <f t="shared" si="31"/>
        <v>329581.8</v>
      </c>
    </row>
  </sheetData>
  <mergeCells count="320">
    <mergeCell ref="AR4:AS4"/>
    <mergeCell ref="V4:W4"/>
    <mergeCell ref="X4:Y4"/>
    <mergeCell ref="Z4:AA4"/>
    <mergeCell ref="AB4:AC4"/>
    <mergeCell ref="AD4:AE4"/>
    <mergeCell ref="AF4:AG4"/>
    <mergeCell ref="L4:M4"/>
    <mergeCell ref="N4:O4"/>
    <mergeCell ref="P4:Q4"/>
    <mergeCell ref="R4:S4"/>
    <mergeCell ref="T4:U4"/>
    <mergeCell ref="BF4:BG4"/>
    <mergeCell ref="BH4:BI4"/>
    <mergeCell ref="BJ4:BK4"/>
    <mergeCell ref="BL4:BM4"/>
    <mergeCell ref="B15:C15"/>
    <mergeCell ref="D15:E15"/>
    <mergeCell ref="F15:G15"/>
    <mergeCell ref="H15:I15"/>
    <mergeCell ref="AT4:AU4"/>
    <mergeCell ref="AV4:AW4"/>
    <mergeCell ref="AX4:AY4"/>
    <mergeCell ref="AZ4:BA4"/>
    <mergeCell ref="BB4:BC4"/>
    <mergeCell ref="BD4:BE4"/>
    <mergeCell ref="AH4:AI4"/>
    <mergeCell ref="AJ4:AK4"/>
    <mergeCell ref="AL4:AM4"/>
    <mergeCell ref="AN4:AO4"/>
    <mergeCell ref="AP4:AQ4"/>
    <mergeCell ref="B4:C4"/>
    <mergeCell ref="D4:E4"/>
    <mergeCell ref="F4:G4"/>
    <mergeCell ref="H4:I4"/>
    <mergeCell ref="J4:K4"/>
    <mergeCell ref="BF26:BG26"/>
    <mergeCell ref="BH26:BI26"/>
    <mergeCell ref="Z26:AA26"/>
    <mergeCell ref="BJ15:BK15"/>
    <mergeCell ref="BL15:BM15"/>
    <mergeCell ref="AR15:AS15"/>
    <mergeCell ref="AT15:AU15"/>
    <mergeCell ref="AV15:AW15"/>
    <mergeCell ref="AX15:AY15"/>
    <mergeCell ref="AZ15:BA15"/>
    <mergeCell ref="BB15:BC15"/>
    <mergeCell ref="Z15:AA15"/>
    <mergeCell ref="AB15:AC15"/>
    <mergeCell ref="AD15:AE15"/>
    <mergeCell ref="BD15:BE15"/>
    <mergeCell ref="BF15:BG15"/>
    <mergeCell ref="BH15:BI15"/>
    <mergeCell ref="AF15:AG15"/>
    <mergeCell ref="AH15:AI15"/>
    <mergeCell ref="AJ15:AK15"/>
    <mergeCell ref="AL15:AM15"/>
    <mergeCell ref="AN15:AO15"/>
    <mergeCell ref="AP15:AQ15"/>
    <mergeCell ref="AL26:AM26"/>
    <mergeCell ref="AN26:AO26"/>
    <mergeCell ref="AP26:AQ26"/>
    <mergeCell ref="AR26:AS26"/>
    <mergeCell ref="V26:W26"/>
    <mergeCell ref="X26:Y26"/>
    <mergeCell ref="J15:K15"/>
    <mergeCell ref="L15:M15"/>
    <mergeCell ref="N15:O15"/>
    <mergeCell ref="AB26:AC26"/>
    <mergeCell ref="L26:M26"/>
    <mergeCell ref="N26:O26"/>
    <mergeCell ref="P26:Q26"/>
    <mergeCell ref="R26:S26"/>
    <mergeCell ref="T26:U26"/>
    <mergeCell ref="P15:Q15"/>
    <mergeCell ref="R15:S15"/>
    <mergeCell ref="T15:U15"/>
    <mergeCell ref="V15:W15"/>
    <mergeCell ref="X15:Y15"/>
    <mergeCell ref="BL37:BM37"/>
    <mergeCell ref="AD26:AE26"/>
    <mergeCell ref="AF26:AG26"/>
    <mergeCell ref="AT37:AU37"/>
    <mergeCell ref="AV37:AW37"/>
    <mergeCell ref="AX37:AY37"/>
    <mergeCell ref="AZ37:BA37"/>
    <mergeCell ref="BB37:BC37"/>
    <mergeCell ref="B26:C26"/>
    <mergeCell ref="D26:E26"/>
    <mergeCell ref="F26:G26"/>
    <mergeCell ref="H26:I26"/>
    <mergeCell ref="J26:K26"/>
    <mergeCell ref="BL26:BM26"/>
    <mergeCell ref="B37:C37"/>
    <mergeCell ref="D37:E37"/>
    <mergeCell ref="F37:G37"/>
    <mergeCell ref="H37:I37"/>
    <mergeCell ref="AT26:AU26"/>
    <mergeCell ref="AV26:AW26"/>
    <mergeCell ref="AX26:AY26"/>
    <mergeCell ref="AZ26:BA26"/>
    <mergeCell ref="BB26:BC26"/>
    <mergeCell ref="BD26:BE26"/>
    <mergeCell ref="BJ26:BK26"/>
    <mergeCell ref="B48:C48"/>
    <mergeCell ref="D48:E48"/>
    <mergeCell ref="F48:G48"/>
    <mergeCell ref="H48:I48"/>
    <mergeCell ref="J48:K48"/>
    <mergeCell ref="BD37:BE37"/>
    <mergeCell ref="BF37:BG37"/>
    <mergeCell ref="BH37:BI37"/>
    <mergeCell ref="AF37:AG37"/>
    <mergeCell ref="AH37:AI37"/>
    <mergeCell ref="AJ37:AK37"/>
    <mergeCell ref="AL37:AM37"/>
    <mergeCell ref="AN37:AO37"/>
    <mergeCell ref="AP37:AQ37"/>
    <mergeCell ref="V37:W37"/>
    <mergeCell ref="X37:Y37"/>
    <mergeCell ref="Z37:AA37"/>
    <mergeCell ref="AB37:AC37"/>
    <mergeCell ref="AD37:AE37"/>
    <mergeCell ref="J37:K37"/>
    <mergeCell ref="BJ37:BK37"/>
    <mergeCell ref="AH26:AI26"/>
    <mergeCell ref="AJ26:AK26"/>
    <mergeCell ref="AT48:AU48"/>
    <mergeCell ref="V48:W48"/>
    <mergeCell ref="X48:Y48"/>
    <mergeCell ref="Z48:AA48"/>
    <mergeCell ref="AD48:AE48"/>
    <mergeCell ref="AF48:AG48"/>
    <mergeCell ref="L48:M48"/>
    <mergeCell ref="N48:O48"/>
    <mergeCell ref="P48:Q48"/>
    <mergeCell ref="R48:S48"/>
    <mergeCell ref="AR48:AS48"/>
    <mergeCell ref="L37:M37"/>
    <mergeCell ref="N37:O37"/>
    <mergeCell ref="AB48:AC48"/>
    <mergeCell ref="AR37:AS37"/>
    <mergeCell ref="B59:C59"/>
    <mergeCell ref="D59:E59"/>
    <mergeCell ref="F59:G59"/>
    <mergeCell ref="H59:I59"/>
    <mergeCell ref="P37:Q37"/>
    <mergeCell ref="R37:S37"/>
    <mergeCell ref="T37:U37"/>
    <mergeCell ref="AV59:AW59"/>
    <mergeCell ref="AX59:AY59"/>
    <mergeCell ref="AZ59:BA59"/>
    <mergeCell ref="BB59:BC59"/>
    <mergeCell ref="P59:Q59"/>
    <mergeCell ref="R59:S59"/>
    <mergeCell ref="T59:U59"/>
    <mergeCell ref="BJ48:BK48"/>
    <mergeCell ref="BL48:BM48"/>
    <mergeCell ref="BD48:BE48"/>
    <mergeCell ref="BJ59:BK59"/>
    <mergeCell ref="BL59:BM59"/>
    <mergeCell ref="T48:U48"/>
    <mergeCell ref="BF48:BG48"/>
    <mergeCell ref="BH48:BI48"/>
    <mergeCell ref="AV48:AW48"/>
    <mergeCell ref="AX48:AY48"/>
    <mergeCell ref="AZ48:BA48"/>
    <mergeCell ref="BB48:BC48"/>
    <mergeCell ref="AH48:AI48"/>
    <mergeCell ref="AJ48:AK48"/>
    <mergeCell ref="AL48:AM48"/>
    <mergeCell ref="AN48:AO48"/>
    <mergeCell ref="AP48:AQ48"/>
    <mergeCell ref="D70:E70"/>
    <mergeCell ref="F70:G70"/>
    <mergeCell ref="H70:I70"/>
    <mergeCell ref="J70:K70"/>
    <mergeCell ref="BD59:BE59"/>
    <mergeCell ref="BF59:BG59"/>
    <mergeCell ref="BH59:BI59"/>
    <mergeCell ref="AF59:AG59"/>
    <mergeCell ref="AH59:AI59"/>
    <mergeCell ref="AJ59:AK59"/>
    <mergeCell ref="AL59:AM59"/>
    <mergeCell ref="AN59:AO59"/>
    <mergeCell ref="AP59:AQ59"/>
    <mergeCell ref="V59:W59"/>
    <mergeCell ref="X59:Y59"/>
    <mergeCell ref="Z59:AA59"/>
    <mergeCell ref="AB59:AC59"/>
    <mergeCell ref="AD59:AE59"/>
    <mergeCell ref="J59:K59"/>
    <mergeCell ref="L59:M59"/>
    <mergeCell ref="N59:O59"/>
    <mergeCell ref="AB70:AC70"/>
    <mergeCell ref="AR59:AS59"/>
    <mergeCell ref="AT59:AU59"/>
    <mergeCell ref="B81:C81"/>
    <mergeCell ref="D81:E81"/>
    <mergeCell ref="F81:G81"/>
    <mergeCell ref="H81:I81"/>
    <mergeCell ref="AT70:AU70"/>
    <mergeCell ref="AV70:AW70"/>
    <mergeCell ref="AX70:AY70"/>
    <mergeCell ref="AZ70:BA70"/>
    <mergeCell ref="AH70:AI70"/>
    <mergeCell ref="AJ70:AK70"/>
    <mergeCell ref="AL70:AM70"/>
    <mergeCell ref="AN70:AO70"/>
    <mergeCell ref="AP70:AQ70"/>
    <mergeCell ref="AR70:AS70"/>
    <mergeCell ref="V70:W70"/>
    <mergeCell ref="X70:Y70"/>
    <mergeCell ref="Z70:AA70"/>
    <mergeCell ref="AD70:AE70"/>
    <mergeCell ref="AF70:AG70"/>
    <mergeCell ref="L70:M70"/>
    <mergeCell ref="N70:O70"/>
    <mergeCell ref="P70:Q70"/>
    <mergeCell ref="R70:S70"/>
    <mergeCell ref="B70:C70"/>
    <mergeCell ref="AZ81:BA81"/>
    <mergeCell ref="BB81:BC81"/>
    <mergeCell ref="P81:Q81"/>
    <mergeCell ref="R81:S81"/>
    <mergeCell ref="T81:U81"/>
    <mergeCell ref="BJ70:BK70"/>
    <mergeCell ref="BL70:BM70"/>
    <mergeCell ref="BB70:BC70"/>
    <mergeCell ref="BD70:BE70"/>
    <mergeCell ref="BJ81:BK81"/>
    <mergeCell ref="BL81:BM81"/>
    <mergeCell ref="T70:U70"/>
    <mergeCell ref="BF70:BG70"/>
    <mergeCell ref="BH70:BI70"/>
    <mergeCell ref="F92:G92"/>
    <mergeCell ref="H92:I92"/>
    <mergeCell ref="J92:K92"/>
    <mergeCell ref="BD81:BE81"/>
    <mergeCell ref="BF81:BG81"/>
    <mergeCell ref="BH81:BI81"/>
    <mergeCell ref="AF81:AG81"/>
    <mergeCell ref="AH81:AI81"/>
    <mergeCell ref="AJ81:AK81"/>
    <mergeCell ref="AL81:AM81"/>
    <mergeCell ref="AN81:AO81"/>
    <mergeCell ref="AP81:AQ81"/>
    <mergeCell ref="V81:W81"/>
    <mergeCell ref="X81:Y81"/>
    <mergeCell ref="Z81:AA81"/>
    <mergeCell ref="AB81:AC81"/>
    <mergeCell ref="AD81:AE81"/>
    <mergeCell ref="J81:K81"/>
    <mergeCell ref="L81:M81"/>
    <mergeCell ref="N81:O81"/>
    <mergeCell ref="AR81:AS81"/>
    <mergeCell ref="AT81:AU81"/>
    <mergeCell ref="AV81:AW81"/>
    <mergeCell ref="AX81:AY81"/>
    <mergeCell ref="BL92:BM92"/>
    <mergeCell ref="B103:C103"/>
    <mergeCell ref="D103:E103"/>
    <mergeCell ref="F103:G103"/>
    <mergeCell ref="H103:I103"/>
    <mergeCell ref="AT92:AU92"/>
    <mergeCell ref="AV92:AW92"/>
    <mergeCell ref="AX92:AY92"/>
    <mergeCell ref="AZ92:BA92"/>
    <mergeCell ref="BB92:BC92"/>
    <mergeCell ref="BD92:BE92"/>
    <mergeCell ref="AH92:AI92"/>
    <mergeCell ref="AJ92:AK92"/>
    <mergeCell ref="AL92:AM92"/>
    <mergeCell ref="AN92:AO92"/>
    <mergeCell ref="AP92:AQ92"/>
    <mergeCell ref="AR92:AS92"/>
    <mergeCell ref="V92:W92"/>
    <mergeCell ref="X92:Y92"/>
    <mergeCell ref="Z92:AA92"/>
    <mergeCell ref="AB92:AC92"/>
    <mergeCell ref="AD92:AE92"/>
    <mergeCell ref="B92:C92"/>
    <mergeCell ref="D92:E92"/>
    <mergeCell ref="J103:K103"/>
    <mergeCell ref="L103:M103"/>
    <mergeCell ref="N103:O103"/>
    <mergeCell ref="P103:Q103"/>
    <mergeCell ref="R103:S103"/>
    <mergeCell ref="T103:U103"/>
    <mergeCell ref="BF92:BG92"/>
    <mergeCell ref="BH92:BI92"/>
    <mergeCell ref="BJ92:BK92"/>
    <mergeCell ref="AF92:AG92"/>
    <mergeCell ref="L92:M92"/>
    <mergeCell ref="N92:O92"/>
    <mergeCell ref="P92:Q92"/>
    <mergeCell ref="R92:S92"/>
    <mergeCell ref="T92:U92"/>
    <mergeCell ref="AF103:AG103"/>
    <mergeCell ref="AH103:AI103"/>
    <mergeCell ref="AJ103:AK103"/>
    <mergeCell ref="AL103:AM103"/>
    <mergeCell ref="AN103:AO103"/>
    <mergeCell ref="AP103:AQ103"/>
    <mergeCell ref="V103:W103"/>
    <mergeCell ref="BL103:BM103"/>
    <mergeCell ref="AR103:AS103"/>
    <mergeCell ref="AT103:AU103"/>
    <mergeCell ref="AV103:AW103"/>
    <mergeCell ref="AX103:AY103"/>
    <mergeCell ref="AZ103:BA103"/>
    <mergeCell ref="BB103:BC103"/>
    <mergeCell ref="X103:Y103"/>
    <mergeCell ref="Z103:AA103"/>
    <mergeCell ref="AB103:AC103"/>
    <mergeCell ref="AD103:AE103"/>
    <mergeCell ref="BD103:BE103"/>
    <mergeCell ref="BF103:BG103"/>
    <mergeCell ref="BH103:BI103"/>
    <mergeCell ref="BJ103:BK10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45.7109375" style="71" customWidth="1"/>
    <col min="2" max="31" width="16" style="71" customWidth="1"/>
    <col min="32" max="32" width="16" style="7" customWidth="1"/>
    <col min="33" max="65" width="16" style="71" customWidth="1"/>
    <col min="66" max="16384" width="9.140625" style="71"/>
  </cols>
  <sheetData>
    <row r="1" spans="1:65" ht="18.75" x14ac:dyDescent="0.3">
      <c r="A1" s="4" t="s">
        <v>169</v>
      </c>
    </row>
    <row r="2" spans="1:65" x14ac:dyDescent="0.25">
      <c r="A2" s="5" t="s">
        <v>98</v>
      </c>
    </row>
    <row r="3" spans="1:65" x14ac:dyDescent="0.25">
      <c r="A3" s="1" t="s">
        <v>0</v>
      </c>
      <c r="B3" s="147" t="s">
        <v>1</v>
      </c>
      <c r="C3" s="148"/>
      <c r="D3" s="147" t="s">
        <v>233</v>
      </c>
      <c r="E3" s="148"/>
      <c r="F3" s="147" t="s">
        <v>2</v>
      </c>
      <c r="G3" s="148"/>
      <c r="H3" s="147" t="s">
        <v>3</v>
      </c>
      <c r="I3" s="148"/>
      <c r="J3" s="147" t="s">
        <v>242</v>
      </c>
      <c r="K3" s="148"/>
      <c r="L3" s="147" t="s">
        <v>234</v>
      </c>
      <c r="M3" s="148"/>
      <c r="N3" s="147" t="s">
        <v>5</v>
      </c>
      <c r="O3" s="148"/>
      <c r="P3" s="147" t="s">
        <v>4</v>
      </c>
      <c r="Q3" s="148"/>
      <c r="R3" s="147" t="s">
        <v>6</v>
      </c>
      <c r="S3" s="148"/>
      <c r="T3" s="147" t="s">
        <v>254</v>
      </c>
      <c r="U3" s="148"/>
      <c r="V3" s="147" t="s">
        <v>7</v>
      </c>
      <c r="W3" s="148"/>
      <c r="X3" s="147" t="s">
        <v>8</v>
      </c>
      <c r="Y3" s="148"/>
      <c r="Z3" s="147" t="s">
        <v>9</v>
      </c>
      <c r="AA3" s="148"/>
      <c r="AB3" s="147" t="s">
        <v>241</v>
      </c>
      <c r="AC3" s="148"/>
      <c r="AD3" s="147" t="s">
        <v>10</v>
      </c>
      <c r="AE3" s="148"/>
      <c r="AF3" s="147" t="s">
        <v>11</v>
      </c>
      <c r="AG3" s="148"/>
      <c r="AH3" s="147" t="s">
        <v>235</v>
      </c>
      <c r="AI3" s="148"/>
      <c r="AJ3" s="147" t="s">
        <v>253</v>
      </c>
      <c r="AK3" s="148"/>
      <c r="AL3" s="147" t="s">
        <v>12</v>
      </c>
      <c r="AM3" s="148"/>
      <c r="AN3" s="147" t="s">
        <v>236</v>
      </c>
      <c r="AO3" s="148"/>
      <c r="AP3" s="147" t="s">
        <v>237</v>
      </c>
      <c r="AQ3" s="148"/>
      <c r="AR3" s="147" t="s">
        <v>240</v>
      </c>
      <c r="AS3" s="148"/>
      <c r="AT3" s="147" t="s">
        <v>13</v>
      </c>
      <c r="AU3" s="148"/>
      <c r="AV3" s="147" t="s">
        <v>14</v>
      </c>
      <c r="AW3" s="148"/>
      <c r="AX3" s="147" t="s">
        <v>15</v>
      </c>
      <c r="AY3" s="148"/>
      <c r="AZ3" s="147" t="s">
        <v>16</v>
      </c>
      <c r="BA3" s="148"/>
      <c r="BB3" s="147" t="s">
        <v>17</v>
      </c>
      <c r="BC3" s="148"/>
      <c r="BD3" s="147" t="s">
        <v>238</v>
      </c>
      <c r="BE3" s="148"/>
      <c r="BF3" s="147" t="s">
        <v>239</v>
      </c>
      <c r="BG3" s="148"/>
      <c r="BH3" s="147" t="s">
        <v>18</v>
      </c>
      <c r="BI3" s="148"/>
      <c r="BJ3" s="147" t="s">
        <v>19</v>
      </c>
      <c r="BK3" s="148"/>
      <c r="BL3" s="151" t="s">
        <v>20</v>
      </c>
      <c r="BM3" s="151"/>
    </row>
    <row r="4" spans="1:65" ht="30" x14ac:dyDescent="0.25">
      <c r="A4" s="1"/>
      <c r="B4" s="53" t="s">
        <v>243</v>
      </c>
      <c r="C4" s="54" t="s">
        <v>244</v>
      </c>
      <c r="D4" s="53" t="s">
        <v>243</v>
      </c>
      <c r="E4" s="54" t="s">
        <v>244</v>
      </c>
      <c r="F4" s="53" t="s">
        <v>243</v>
      </c>
      <c r="G4" s="54" t="s">
        <v>244</v>
      </c>
      <c r="H4" s="53" t="s">
        <v>243</v>
      </c>
      <c r="I4" s="54" t="s">
        <v>244</v>
      </c>
      <c r="J4" s="53" t="s">
        <v>243</v>
      </c>
      <c r="K4" s="54" t="s">
        <v>244</v>
      </c>
      <c r="L4" s="53" t="s">
        <v>243</v>
      </c>
      <c r="M4" s="54" t="s">
        <v>244</v>
      </c>
      <c r="N4" s="53" t="s">
        <v>243</v>
      </c>
      <c r="O4" s="54" t="s">
        <v>244</v>
      </c>
      <c r="P4" s="53" t="s">
        <v>243</v>
      </c>
      <c r="Q4" s="54" t="s">
        <v>244</v>
      </c>
      <c r="R4" s="53" t="s">
        <v>243</v>
      </c>
      <c r="S4" s="54" t="s">
        <v>244</v>
      </c>
      <c r="T4" s="53" t="s">
        <v>243</v>
      </c>
      <c r="U4" s="54" t="s">
        <v>244</v>
      </c>
      <c r="V4" s="53" t="s">
        <v>243</v>
      </c>
      <c r="W4" s="54" t="s">
        <v>244</v>
      </c>
      <c r="X4" s="53" t="s">
        <v>243</v>
      </c>
      <c r="Y4" s="54" t="s">
        <v>244</v>
      </c>
      <c r="Z4" s="53" t="s">
        <v>243</v>
      </c>
      <c r="AA4" s="54" t="s">
        <v>244</v>
      </c>
      <c r="AB4" s="53" t="s">
        <v>243</v>
      </c>
      <c r="AC4" s="54" t="s">
        <v>244</v>
      </c>
      <c r="AD4" s="53" t="s">
        <v>243</v>
      </c>
      <c r="AE4" s="54" t="s">
        <v>244</v>
      </c>
      <c r="AF4" s="53" t="s">
        <v>243</v>
      </c>
      <c r="AG4" s="54" t="s">
        <v>244</v>
      </c>
      <c r="AH4" s="53" t="s">
        <v>243</v>
      </c>
      <c r="AI4" s="54" t="s">
        <v>244</v>
      </c>
      <c r="AJ4" s="53" t="s">
        <v>243</v>
      </c>
      <c r="AK4" s="54" t="s">
        <v>244</v>
      </c>
      <c r="AL4" s="53" t="s">
        <v>243</v>
      </c>
      <c r="AM4" s="54" t="s">
        <v>244</v>
      </c>
      <c r="AN4" s="53" t="s">
        <v>243</v>
      </c>
      <c r="AO4" s="54" t="s">
        <v>244</v>
      </c>
      <c r="AP4" s="53" t="s">
        <v>243</v>
      </c>
      <c r="AQ4" s="54" t="s">
        <v>244</v>
      </c>
      <c r="AR4" s="53" t="s">
        <v>243</v>
      </c>
      <c r="AS4" s="54" t="s">
        <v>244</v>
      </c>
      <c r="AT4" s="53" t="s">
        <v>243</v>
      </c>
      <c r="AU4" s="54" t="s">
        <v>244</v>
      </c>
      <c r="AV4" s="53" t="s">
        <v>243</v>
      </c>
      <c r="AW4" s="54" t="s">
        <v>244</v>
      </c>
      <c r="AX4" s="53" t="s">
        <v>243</v>
      </c>
      <c r="AY4" s="54" t="s">
        <v>244</v>
      </c>
      <c r="AZ4" s="53" t="s">
        <v>243</v>
      </c>
      <c r="BA4" s="54" t="s">
        <v>244</v>
      </c>
      <c r="BB4" s="53" t="s">
        <v>243</v>
      </c>
      <c r="BC4" s="54" t="s">
        <v>244</v>
      </c>
      <c r="BD4" s="53" t="s">
        <v>243</v>
      </c>
      <c r="BE4" s="54" t="s">
        <v>244</v>
      </c>
      <c r="BF4" s="53" t="s">
        <v>243</v>
      </c>
      <c r="BG4" s="54" t="s">
        <v>244</v>
      </c>
      <c r="BH4" s="53" t="s">
        <v>243</v>
      </c>
      <c r="BI4" s="54" t="s">
        <v>244</v>
      </c>
      <c r="BJ4" s="53" t="s">
        <v>243</v>
      </c>
      <c r="BK4" s="54" t="s">
        <v>244</v>
      </c>
      <c r="BL4" s="105" t="s">
        <v>243</v>
      </c>
      <c r="BM4" s="106" t="s">
        <v>244</v>
      </c>
    </row>
    <row r="5" spans="1:65" x14ac:dyDescent="0.25">
      <c r="A5" s="20" t="s">
        <v>170</v>
      </c>
      <c r="B5" s="92">
        <v>1871</v>
      </c>
      <c r="C5" s="92">
        <v>3921</v>
      </c>
      <c r="D5" s="92">
        <v>8151</v>
      </c>
      <c r="E5" s="92">
        <v>16588</v>
      </c>
      <c r="F5" s="92">
        <v>2901</v>
      </c>
      <c r="G5" s="92">
        <v>5889</v>
      </c>
      <c r="H5" s="92">
        <v>19721</v>
      </c>
      <c r="I5" s="92">
        <v>39986</v>
      </c>
      <c r="J5" s="92">
        <v>13454.22</v>
      </c>
      <c r="K5" s="92">
        <v>26896.86</v>
      </c>
      <c r="L5" s="92">
        <v>4124</v>
      </c>
      <c r="M5" s="92">
        <v>8077</v>
      </c>
      <c r="N5" s="92">
        <v>3397.5</v>
      </c>
      <c r="O5" s="92">
        <v>7067.24</v>
      </c>
      <c r="P5" s="92">
        <v>1482.66</v>
      </c>
      <c r="Q5" s="92">
        <v>3124.08</v>
      </c>
      <c r="R5" s="92">
        <v>6867.37</v>
      </c>
      <c r="S5" s="92">
        <v>12775.83</v>
      </c>
      <c r="T5" s="92">
        <v>4306</v>
      </c>
      <c r="U5" s="92">
        <v>8483</v>
      </c>
      <c r="V5" s="92">
        <v>15726</v>
      </c>
      <c r="W5" s="92">
        <v>31459</v>
      </c>
      <c r="X5" s="92">
        <v>24634</v>
      </c>
      <c r="Y5" s="92">
        <v>50016</v>
      </c>
      <c r="Z5" s="92">
        <v>9723</v>
      </c>
      <c r="AA5" s="92">
        <v>20421</v>
      </c>
      <c r="AB5" s="92">
        <v>2416.5700000000002</v>
      </c>
      <c r="AC5" s="92">
        <v>4381.09</v>
      </c>
      <c r="AD5" s="92">
        <v>3579.33</v>
      </c>
      <c r="AE5" s="92">
        <v>7236.17</v>
      </c>
      <c r="AF5" s="69">
        <v>3210.94</v>
      </c>
      <c r="AG5" s="92">
        <v>6354.86</v>
      </c>
      <c r="AH5" s="92">
        <v>4122.38</v>
      </c>
      <c r="AI5" s="92">
        <v>8040.54</v>
      </c>
      <c r="AJ5" s="92">
        <v>9926.1</v>
      </c>
      <c r="AK5" s="92">
        <v>20096.099999999999</v>
      </c>
      <c r="AL5" s="92">
        <v>62150.16</v>
      </c>
      <c r="AM5" s="92">
        <v>110947.74</v>
      </c>
      <c r="AN5" s="92">
        <v>896</v>
      </c>
      <c r="AO5" s="92">
        <v>1631</v>
      </c>
      <c r="AP5" s="92">
        <v>1107</v>
      </c>
      <c r="AQ5" s="92">
        <v>2507</v>
      </c>
      <c r="AR5" s="76">
        <v>10738</v>
      </c>
      <c r="AS5" s="76">
        <v>23010</v>
      </c>
      <c r="AT5" s="92">
        <v>5075.1000000000004</v>
      </c>
      <c r="AU5" s="92">
        <v>10102.17</v>
      </c>
      <c r="AV5" s="92">
        <v>9984</v>
      </c>
      <c r="AW5" s="92">
        <v>20293</v>
      </c>
      <c r="AX5" s="92">
        <v>2648</v>
      </c>
      <c r="AY5" s="92">
        <v>5043</v>
      </c>
      <c r="AZ5" s="92">
        <v>32877</v>
      </c>
      <c r="BA5" s="92">
        <v>60998</v>
      </c>
      <c r="BB5" s="92">
        <v>15330</v>
      </c>
      <c r="BC5" s="92">
        <v>30271</v>
      </c>
      <c r="BD5" s="92">
        <v>57064.01</v>
      </c>
      <c r="BE5" s="92">
        <v>140547.94</v>
      </c>
      <c r="BF5" s="92">
        <v>52491</v>
      </c>
      <c r="BG5" s="92">
        <v>121637</v>
      </c>
      <c r="BH5" s="92">
        <v>74667</v>
      </c>
      <c r="BI5" s="92">
        <v>149678</v>
      </c>
      <c r="BJ5" s="92">
        <v>3052</v>
      </c>
      <c r="BK5" s="92">
        <v>5781</v>
      </c>
      <c r="BL5" s="68">
        <f>SUM(B5+D5+F5+H5+J5+L5+N5+P5+R5+T5+V5+X5+Z5+AB5+AD5+AF5+AH5+AJ5+AL5+AN5+AP5+AR5+AT5+AV5+AX5+AZ5+BB5+BD5+BF5+BH5+BJ5)</f>
        <v>467693.34</v>
      </c>
      <c r="BM5" s="68">
        <f>SUM(C5+E5+G5+I5+K5+M5+O5+Q5+S5+U5+W5+Y5+AA5+AC5+AE5+AG5+AI5+AK5+AM5+AO5+AQ5+AS5+AU5+AW5+AY5+BA5+BC5+BE5+BG5+BI5+BK5)</f>
        <v>963259.61999999988</v>
      </c>
    </row>
    <row r="6" spans="1:65" x14ac:dyDescent="0.25">
      <c r="A6" s="20" t="s">
        <v>171</v>
      </c>
      <c r="B6" s="92">
        <v>11</v>
      </c>
      <c r="C6" s="92">
        <v>13</v>
      </c>
      <c r="D6" s="92">
        <v>185</v>
      </c>
      <c r="E6" s="92">
        <v>268</v>
      </c>
      <c r="F6" s="92">
        <v>60</v>
      </c>
      <c r="G6" s="92">
        <v>74</v>
      </c>
      <c r="H6" s="92">
        <v>626</v>
      </c>
      <c r="I6" s="92">
        <v>874</v>
      </c>
      <c r="J6" s="92">
        <v>222.9</v>
      </c>
      <c r="K6" s="92">
        <v>456.07</v>
      </c>
      <c r="L6" s="92">
        <v>230</v>
      </c>
      <c r="M6" s="92">
        <v>317</v>
      </c>
      <c r="N6" s="92">
        <v>184.39</v>
      </c>
      <c r="O6" s="92">
        <v>262.13</v>
      </c>
      <c r="P6" s="92">
        <v>9.1300000000000008</v>
      </c>
      <c r="Q6" s="92">
        <v>23.09</v>
      </c>
      <c r="R6" s="92">
        <v>67.430000000000007</v>
      </c>
      <c r="S6" s="92">
        <v>129.71</v>
      </c>
      <c r="T6" s="92">
        <v>132</v>
      </c>
      <c r="U6" s="92">
        <v>175</v>
      </c>
      <c r="V6" s="92">
        <v>671</v>
      </c>
      <c r="W6" s="92">
        <v>945</v>
      </c>
      <c r="X6" s="92">
        <v>940</v>
      </c>
      <c r="Y6" s="92">
        <v>1535</v>
      </c>
      <c r="Z6" s="92">
        <v>392</v>
      </c>
      <c r="AA6" s="92">
        <v>583</v>
      </c>
      <c r="AB6" s="92">
        <v>57.49</v>
      </c>
      <c r="AC6" s="92">
        <v>92.48</v>
      </c>
      <c r="AD6" s="92">
        <v>174.35</v>
      </c>
      <c r="AE6" s="92">
        <v>264.7</v>
      </c>
      <c r="AF6" s="69">
        <v>59.29</v>
      </c>
      <c r="AG6" s="92">
        <v>89.03</v>
      </c>
      <c r="AH6" s="92">
        <v>32.01</v>
      </c>
      <c r="AI6" s="92">
        <v>43.41</v>
      </c>
      <c r="AJ6" s="92">
        <v>311.42</v>
      </c>
      <c r="AK6" s="92">
        <v>475.13</v>
      </c>
      <c r="AL6" s="92">
        <v>529.04</v>
      </c>
      <c r="AM6" s="92">
        <v>853.35</v>
      </c>
      <c r="AN6" s="92">
        <v>4</v>
      </c>
      <c r="AO6" s="92">
        <v>5</v>
      </c>
      <c r="AP6" s="92">
        <v>0</v>
      </c>
      <c r="AQ6" s="92">
        <v>16</v>
      </c>
      <c r="AR6" s="76">
        <v>1079</v>
      </c>
      <c r="AS6" s="76">
        <v>1561</v>
      </c>
      <c r="AT6" s="92">
        <v>94.44</v>
      </c>
      <c r="AU6" s="92">
        <v>133.09</v>
      </c>
      <c r="AV6" s="92">
        <v>594</v>
      </c>
      <c r="AW6" s="92">
        <v>898</v>
      </c>
      <c r="AX6" s="92">
        <v>281</v>
      </c>
      <c r="AY6" s="92">
        <v>399</v>
      </c>
      <c r="AZ6" s="92">
        <v>819</v>
      </c>
      <c r="BA6" s="92">
        <v>1628</v>
      </c>
      <c r="BB6" s="92">
        <v>336</v>
      </c>
      <c r="BC6" s="92">
        <v>434</v>
      </c>
      <c r="BD6" s="92">
        <v>944.32</v>
      </c>
      <c r="BE6" s="92">
        <v>1471.83</v>
      </c>
      <c r="BF6" s="92">
        <v>590</v>
      </c>
      <c r="BG6" s="92">
        <v>877</v>
      </c>
      <c r="BH6" s="92">
        <v>601</v>
      </c>
      <c r="BI6" s="92">
        <v>925</v>
      </c>
      <c r="BJ6" s="92">
        <v>138</v>
      </c>
      <c r="BK6" s="92">
        <v>198</v>
      </c>
      <c r="BL6" s="68">
        <f t="shared" ref="BL6:BL17" si="0">SUM(B6+D6+F6+H6+J6+L6+N6+P6+R6+T6+V6+X6+Z6+AB6+AD6+AF6+AH6+AJ6+AL6+AN6+AP6+AR6+AT6+AV6+AX6+AZ6+BB6+BD6+BF6+BH6+BJ6)</f>
        <v>10375.209999999999</v>
      </c>
      <c r="BM6" s="68">
        <f t="shared" ref="BM6:BM17" si="1">SUM(C6+E6+G6+I6+K6+M6+O6+Q6+S6+U6+W6+Y6+AA6+AC6+AE6+AG6+AI6+AK6+AM6+AO6+AQ6+AS6+AU6+AW6+AY6+BA6+BC6+BE6+BG6+BI6+BK6)</f>
        <v>16019.019999999999</v>
      </c>
    </row>
    <row r="7" spans="1:65" x14ac:dyDescent="0.25">
      <c r="A7" s="20" t="s">
        <v>172</v>
      </c>
      <c r="B7" s="92"/>
      <c r="C7" s="92">
        <v>1</v>
      </c>
      <c r="D7" s="92">
        <v>25</v>
      </c>
      <c r="E7" s="92">
        <v>78</v>
      </c>
      <c r="F7" s="92">
        <v>4</v>
      </c>
      <c r="G7" s="92">
        <v>4</v>
      </c>
      <c r="H7" s="92">
        <v>12</v>
      </c>
      <c r="I7" s="92">
        <v>21</v>
      </c>
      <c r="J7" s="92">
        <v>185.89</v>
      </c>
      <c r="K7" s="92">
        <v>346.75</v>
      </c>
      <c r="L7" s="92">
        <v>-532</v>
      </c>
      <c r="M7" s="92">
        <v>33</v>
      </c>
      <c r="N7" s="92">
        <v>7.01</v>
      </c>
      <c r="O7" s="92">
        <v>11.05</v>
      </c>
      <c r="P7" s="92">
        <v>14.1</v>
      </c>
      <c r="Q7" s="92">
        <v>19.329999999999998</v>
      </c>
      <c r="R7" s="92">
        <v>471.23</v>
      </c>
      <c r="S7" s="92">
        <v>480.26</v>
      </c>
      <c r="T7" s="92">
        <v>62</v>
      </c>
      <c r="U7" s="92">
        <v>85</v>
      </c>
      <c r="V7" s="92">
        <v>430</v>
      </c>
      <c r="W7" s="92">
        <v>651</v>
      </c>
      <c r="X7" s="92">
        <v>60</v>
      </c>
      <c r="Y7" s="92">
        <v>132</v>
      </c>
      <c r="Z7" s="92">
        <v>22</v>
      </c>
      <c r="AA7" s="92">
        <v>44</v>
      </c>
      <c r="AB7" s="92">
        <v>0.34</v>
      </c>
      <c r="AC7" s="92">
        <v>6.83</v>
      </c>
      <c r="AD7" s="92">
        <v>125.75</v>
      </c>
      <c r="AE7" s="92">
        <v>207.82</v>
      </c>
      <c r="AF7" s="69">
        <v>4.9800000000000004</v>
      </c>
      <c r="AG7" s="92">
        <v>5.88</v>
      </c>
      <c r="AH7" s="92">
        <v>64.31</v>
      </c>
      <c r="AI7" s="92">
        <v>75.38</v>
      </c>
      <c r="AJ7" s="92">
        <v>16.7</v>
      </c>
      <c r="AK7" s="92">
        <v>46.7</v>
      </c>
      <c r="AL7" s="92">
        <v>16.260000000000002</v>
      </c>
      <c r="AM7" s="92">
        <v>48.61</v>
      </c>
      <c r="AN7" s="92">
        <v>236</v>
      </c>
      <c r="AO7" s="92">
        <v>254</v>
      </c>
      <c r="AP7" s="92">
        <v>179</v>
      </c>
      <c r="AQ7" s="92">
        <v>236</v>
      </c>
      <c r="AR7" s="76">
        <v>482</v>
      </c>
      <c r="AS7" s="76">
        <v>617</v>
      </c>
      <c r="AT7" s="92">
        <v>5.14</v>
      </c>
      <c r="AU7" s="92">
        <v>7.93</v>
      </c>
      <c r="AV7" s="92">
        <v>34</v>
      </c>
      <c r="AW7" s="92">
        <v>56</v>
      </c>
      <c r="AX7" s="92">
        <v>16</v>
      </c>
      <c r="AY7" s="92">
        <v>32</v>
      </c>
      <c r="AZ7" s="92">
        <v>133</v>
      </c>
      <c r="BA7" s="92">
        <v>202</v>
      </c>
      <c r="BB7" s="92">
        <v>186</v>
      </c>
      <c r="BC7" s="92">
        <v>280</v>
      </c>
      <c r="BD7" s="92">
        <v>225.25</v>
      </c>
      <c r="BE7" s="92">
        <v>237.67</v>
      </c>
      <c r="BF7" s="92">
        <v>59</v>
      </c>
      <c r="BG7" s="92">
        <v>82</v>
      </c>
      <c r="BH7" s="92">
        <v>20</v>
      </c>
      <c r="BI7" s="92">
        <v>36</v>
      </c>
      <c r="BJ7" s="92">
        <v>0</v>
      </c>
      <c r="BK7" s="92">
        <v>5</v>
      </c>
      <c r="BL7" s="68">
        <f t="shared" si="0"/>
        <v>2564.96</v>
      </c>
      <c r="BM7" s="68">
        <f t="shared" si="1"/>
        <v>4343.21</v>
      </c>
    </row>
    <row r="8" spans="1:65" x14ac:dyDescent="0.25">
      <c r="A8" s="20" t="s">
        <v>173</v>
      </c>
      <c r="B8" s="92">
        <v>74</v>
      </c>
      <c r="C8" s="92">
        <v>143</v>
      </c>
      <c r="D8" s="92">
        <v>250</v>
      </c>
      <c r="E8" s="92">
        <v>444</v>
      </c>
      <c r="F8" s="92">
        <v>231</v>
      </c>
      <c r="G8" s="92">
        <v>369</v>
      </c>
      <c r="H8" s="92">
        <v>684</v>
      </c>
      <c r="I8" s="92">
        <v>1497</v>
      </c>
      <c r="J8" s="92">
        <v>311.48</v>
      </c>
      <c r="K8" s="92">
        <v>715.66</v>
      </c>
      <c r="L8" s="92">
        <v>321</v>
      </c>
      <c r="M8" s="92">
        <v>635</v>
      </c>
      <c r="N8" s="92">
        <v>678.78</v>
      </c>
      <c r="O8" s="92">
        <v>1278.24</v>
      </c>
      <c r="P8" s="92">
        <v>109.85</v>
      </c>
      <c r="Q8" s="92">
        <v>231.91</v>
      </c>
      <c r="R8" s="92">
        <v>478.17</v>
      </c>
      <c r="S8" s="92">
        <v>963.32</v>
      </c>
      <c r="T8" s="92">
        <v>211</v>
      </c>
      <c r="U8" s="92">
        <v>436</v>
      </c>
      <c r="V8" s="92">
        <v>1114</v>
      </c>
      <c r="W8" s="92">
        <v>2125</v>
      </c>
      <c r="X8" s="92">
        <v>2255</v>
      </c>
      <c r="Y8" s="92">
        <v>4457</v>
      </c>
      <c r="Z8" s="92">
        <v>1253</v>
      </c>
      <c r="AA8" s="92">
        <v>2332</v>
      </c>
      <c r="AB8" s="92">
        <v>227.99</v>
      </c>
      <c r="AC8" s="92">
        <v>441.43</v>
      </c>
      <c r="AD8" s="92">
        <v>394.53</v>
      </c>
      <c r="AE8" s="92">
        <v>863.72</v>
      </c>
      <c r="AF8" s="69">
        <v>133.79</v>
      </c>
      <c r="AG8" s="92">
        <v>260.97000000000003</v>
      </c>
      <c r="AH8" s="92">
        <v>228.28</v>
      </c>
      <c r="AI8" s="92">
        <v>439.65</v>
      </c>
      <c r="AJ8" s="92">
        <v>345.25</v>
      </c>
      <c r="AK8" s="92">
        <v>612.11</v>
      </c>
      <c r="AL8" s="92">
        <v>2414.29</v>
      </c>
      <c r="AM8" s="92">
        <v>4426.78</v>
      </c>
      <c r="AN8" s="92">
        <v>30</v>
      </c>
      <c r="AO8" s="92">
        <v>131</v>
      </c>
      <c r="AP8" s="92">
        <v>62</v>
      </c>
      <c r="AQ8" s="92">
        <v>123</v>
      </c>
      <c r="AR8" s="76">
        <v>522</v>
      </c>
      <c r="AS8" s="76">
        <v>1050</v>
      </c>
      <c r="AT8" s="92">
        <v>479.52</v>
      </c>
      <c r="AU8" s="92">
        <v>965.15</v>
      </c>
      <c r="AV8" s="92">
        <v>767</v>
      </c>
      <c r="AW8" s="92">
        <v>1514</v>
      </c>
      <c r="AX8" s="92">
        <v>317</v>
      </c>
      <c r="AY8" s="92">
        <v>580</v>
      </c>
      <c r="AZ8" s="92">
        <v>1664</v>
      </c>
      <c r="BA8" s="92">
        <v>3662</v>
      </c>
      <c r="BB8" s="92">
        <v>4114</v>
      </c>
      <c r="BC8" s="92">
        <v>10383</v>
      </c>
      <c r="BD8" s="92">
        <v>3977.97</v>
      </c>
      <c r="BE8" s="92">
        <v>7169.31</v>
      </c>
      <c r="BF8" s="92">
        <v>2217</v>
      </c>
      <c r="BG8" s="92">
        <v>3799</v>
      </c>
      <c r="BH8" s="92">
        <v>2937</v>
      </c>
      <c r="BI8" s="92">
        <v>4977</v>
      </c>
      <c r="BJ8" s="92">
        <v>-687</v>
      </c>
      <c r="BK8" s="92">
        <v>516</v>
      </c>
      <c r="BL8" s="68">
        <f t="shared" si="0"/>
        <v>28115.900000000005</v>
      </c>
      <c r="BM8" s="68">
        <f t="shared" si="1"/>
        <v>57541.25</v>
      </c>
    </row>
    <row r="9" spans="1:65" x14ac:dyDescent="0.25">
      <c r="A9" s="20" t="s">
        <v>174</v>
      </c>
      <c r="B9" s="92">
        <v>3</v>
      </c>
      <c r="C9" s="92">
        <v>4</v>
      </c>
      <c r="D9" s="92">
        <v>96</v>
      </c>
      <c r="E9" s="92">
        <v>189</v>
      </c>
      <c r="F9" s="92">
        <v>48</v>
      </c>
      <c r="G9" s="92">
        <v>90</v>
      </c>
      <c r="H9" s="92">
        <v>291</v>
      </c>
      <c r="I9" s="92">
        <v>579</v>
      </c>
      <c r="J9" s="92">
        <v>72.28</v>
      </c>
      <c r="K9" s="92">
        <v>131.21</v>
      </c>
      <c r="L9" s="92">
        <v>63</v>
      </c>
      <c r="M9" s="92">
        <v>123</v>
      </c>
      <c r="N9" s="92">
        <v>280.14</v>
      </c>
      <c r="O9" s="92">
        <v>524.45000000000005</v>
      </c>
      <c r="P9" s="92">
        <v>4.29</v>
      </c>
      <c r="Q9" s="92">
        <v>20.61</v>
      </c>
      <c r="R9" s="92">
        <v>1402.58</v>
      </c>
      <c r="S9" s="92">
        <v>2191.08</v>
      </c>
      <c r="T9" s="92"/>
      <c r="U9" s="92"/>
      <c r="V9" s="92">
        <v>562</v>
      </c>
      <c r="W9" s="92">
        <v>1073</v>
      </c>
      <c r="X9" s="92">
        <v>1694</v>
      </c>
      <c r="Y9" s="92">
        <v>3411</v>
      </c>
      <c r="Z9" s="92">
        <v>778</v>
      </c>
      <c r="AA9" s="92">
        <v>1175</v>
      </c>
      <c r="AB9" s="92">
        <v>39.72</v>
      </c>
      <c r="AC9" s="92">
        <v>78.150000000000006</v>
      </c>
      <c r="AD9" s="92">
        <v>372.88</v>
      </c>
      <c r="AE9" s="92">
        <v>992.48</v>
      </c>
      <c r="AF9" s="69">
        <v>15.11</v>
      </c>
      <c r="AG9" s="92">
        <v>27.73</v>
      </c>
      <c r="AH9" s="92">
        <v>10.19</v>
      </c>
      <c r="AI9" s="92">
        <v>13.63</v>
      </c>
      <c r="AJ9" s="92">
        <v>138.9</v>
      </c>
      <c r="AK9" s="92">
        <v>291.06</v>
      </c>
      <c r="AL9" s="92">
        <v>106.46</v>
      </c>
      <c r="AM9" s="92">
        <v>201.84</v>
      </c>
      <c r="AN9" s="92">
        <v>1</v>
      </c>
      <c r="AO9" s="92">
        <v>1</v>
      </c>
      <c r="AP9" s="92">
        <v>0</v>
      </c>
      <c r="AQ9" s="92">
        <v>0</v>
      </c>
      <c r="AR9" s="76">
        <v>1540</v>
      </c>
      <c r="AS9" s="76">
        <v>2744</v>
      </c>
      <c r="AT9" s="92">
        <v>139.69999999999999</v>
      </c>
      <c r="AU9" s="92">
        <v>298.14999999999998</v>
      </c>
      <c r="AV9" s="92">
        <v>664</v>
      </c>
      <c r="AW9" s="92">
        <v>1312</v>
      </c>
      <c r="AX9" s="92">
        <v>71</v>
      </c>
      <c r="AY9" s="92">
        <v>111</v>
      </c>
      <c r="AZ9" s="92">
        <v>718</v>
      </c>
      <c r="BA9" s="92">
        <v>1374</v>
      </c>
      <c r="BB9" s="92">
        <v>47</v>
      </c>
      <c r="BC9" s="92">
        <v>106</v>
      </c>
      <c r="BD9" s="92">
        <v>1263.92</v>
      </c>
      <c r="BE9" s="92">
        <v>3985.17</v>
      </c>
      <c r="BF9" s="92">
        <v>682</v>
      </c>
      <c r="BG9" s="92">
        <v>1145</v>
      </c>
      <c r="BH9" s="92">
        <v>295</v>
      </c>
      <c r="BI9" s="92">
        <v>461</v>
      </c>
      <c r="BJ9" s="92">
        <v>212</v>
      </c>
      <c r="BK9" s="92">
        <v>496</v>
      </c>
      <c r="BL9" s="68">
        <f t="shared" si="0"/>
        <v>11611.17</v>
      </c>
      <c r="BM9" s="68">
        <f t="shared" si="1"/>
        <v>23149.559999999998</v>
      </c>
    </row>
    <row r="10" spans="1:65" x14ac:dyDescent="0.25">
      <c r="A10" s="20" t="s">
        <v>175</v>
      </c>
      <c r="B10" s="92">
        <v>1</v>
      </c>
      <c r="C10" s="92">
        <v>3</v>
      </c>
      <c r="D10" s="92">
        <v>185</v>
      </c>
      <c r="E10" s="92">
        <v>283</v>
      </c>
      <c r="F10" s="92">
        <v>74</v>
      </c>
      <c r="G10" s="92">
        <v>124</v>
      </c>
      <c r="H10" s="92">
        <v>259</v>
      </c>
      <c r="I10" s="92">
        <v>419</v>
      </c>
      <c r="J10" s="92">
        <v>234.03</v>
      </c>
      <c r="K10" s="92">
        <v>325.82</v>
      </c>
      <c r="L10" s="92">
        <v>100</v>
      </c>
      <c r="M10" s="92">
        <v>163</v>
      </c>
      <c r="N10" s="92">
        <v>50.09</v>
      </c>
      <c r="O10" s="92">
        <v>67.989999999999995</v>
      </c>
      <c r="P10" s="92">
        <v>-4.26</v>
      </c>
      <c r="Q10" s="92">
        <v>3.03</v>
      </c>
      <c r="R10" s="92">
        <v>54.57</v>
      </c>
      <c r="S10" s="92">
        <v>174.02</v>
      </c>
      <c r="T10" s="92">
        <v>32</v>
      </c>
      <c r="U10" s="92">
        <v>50</v>
      </c>
      <c r="V10" s="92">
        <v>358</v>
      </c>
      <c r="W10" s="92">
        <v>664</v>
      </c>
      <c r="X10" s="92">
        <v>262</v>
      </c>
      <c r="Y10" s="92">
        <v>554</v>
      </c>
      <c r="Z10" s="92">
        <v>131</v>
      </c>
      <c r="AA10" s="92">
        <v>251</v>
      </c>
      <c r="AB10" s="92">
        <v>21.71</v>
      </c>
      <c r="AC10" s="92">
        <v>40.42</v>
      </c>
      <c r="AD10" s="92">
        <v>52.21</v>
      </c>
      <c r="AE10" s="92">
        <v>155.13999999999999</v>
      </c>
      <c r="AF10" s="69">
        <v>21.39</v>
      </c>
      <c r="AG10" s="92">
        <v>30.95</v>
      </c>
      <c r="AH10" s="92">
        <v>24.7</v>
      </c>
      <c r="AI10" s="92">
        <v>45.81</v>
      </c>
      <c r="AJ10" s="92">
        <v>6.78</v>
      </c>
      <c r="AK10" s="92">
        <v>16.16</v>
      </c>
      <c r="AL10" s="92">
        <v>670.15</v>
      </c>
      <c r="AM10" s="92">
        <v>1388.86</v>
      </c>
      <c r="AN10" s="92">
        <v>2</v>
      </c>
      <c r="AO10" s="92">
        <v>5</v>
      </c>
      <c r="AP10" s="92">
        <v>9</v>
      </c>
      <c r="AQ10" s="92">
        <v>28</v>
      </c>
      <c r="AR10" s="76">
        <v>197</v>
      </c>
      <c r="AS10" s="76">
        <v>241</v>
      </c>
      <c r="AT10" s="92">
        <v>60.86</v>
      </c>
      <c r="AU10" s="92">
        <v>130.33000000000001</v>
      </c>
      <c r="AV10" s="92">
        <v>378</v>
      </c>
      <c r="AW10" s="92">
        <v>689</v>
      </c>
      <c r="AX10" s="92">
        <v>78</v>
      </c>
      <c r="AY10" s="92">
        <v>107</v>
      </c>
      <c r="AZ10" s="92">
        <v>552</v>
      </c>
      <c r="BA10" s="92">
        <v>1021</v>
      </c>
      <c r="BB10" s="92">
        <v>183</v>
      </c>
      <c r="BC10" s="92">
        <v>335</v>
      </c>
      <c r="BD10" s="92">
        <v>773.65</v>
      </c>
      <c r="BE10" s="92">
        <v>1371.48</v>
      </c>
      <c r="BF10" s="92">
        <v>371</v>
      </c>
      <c r="BG10" s="92">
        <v>522</v>
      </c>
      <c r="BH10" s="92">
        <v>411</v>
      </c>
      <c r="BI10" s="92">
        <v>627</v>
      </c>
      <c r="BJ10" s="92">
        <v>155</v>
      </c>
      <c r="BK10" s="92">
        <v>207</v>
      </c>
      <c r="BL10" s="68">
        <f t="shared" si="0"/>
        <v>5703.88</v>
      </c>
      <c r="BM10" s="68">
        <f t="shared" si="1"/>
        <v>10043.009999999998</v>
      </c>
    </row>
    <row r="11" spans="1:65" x14ac:dyDescent="0.25">
      <c r="A11" s="20" t="s">
        <v>176</v>
      </c>
      <c r="B11" s="92">
        <v>31</v>
      </c>
      <c r="C11" s="92">
        <v>47</v>
      </c>
      <c r="D11" s="92">
        <v>186</v>
      </c>
      <c r="E11" s="92">
        <v>346</v>
      </c>
      <c r="F11" s="92">
        <v>25</v>
      </c>
      <c r="G11" s="92">
        <v>35</v>
      </c>
      <c r="H11" s="92">
        <v>381</v>
      </c>
      <c r="I11" s="92">
        <v>801</v>
      </c>
      <c r="J11" s="92">
        <v>370.13</v>
      </c>
      <c r="K11" s="92">
        <v>715.55</v>
      </c>
      <c r="L11" s="92">
        <v>230</v>
      </c>
      <c r="M11" s="92">
        <v>376</v>
      </c>
      <c r="N11" s="92">
        <v>22.81</v>
      </c>
      <c r="O11" s="92">
        <v>54.63</v>
      </c>
      <c r="P11" s="92">
        <v>5.44</v>
      </c>
      <c r="Q11" s="92">
        <v>17.399999999999999</v>
      </c>
      <c r="R11" s="92">
        <v>181.86</v>
      </c>
      <c r="S11" s="92">
        <v>390.88</v>
      </c>
      <c r="T11" s="92">
        <v>41</v>
      </c>
      <c r="U11" s="92">
        <v>89</v>
      </c>
      <c r="V11" s="92">
        <v>217</v>
      </c>
      <c r="W11" s="92">
        <v>436</v>
      </c>
      <c r="X11" s="92">
        <v>1352</v>
      </c>
      <c r="Y11" s="92">
        <v>3010</v>
      </c>
      <c r="Z11" s="92">
        <v>516</v>
      </c>
      <c r="AA11" s="92">
        <v>741</v>
      </c>
      <c r="AB11" s="92">
        <v>31.07</v>
      </c>
      <c r="AC11" s="92">
        <v>55.38</v>
      </c>
      <c r="AD11" s="92">
        <v>472.02</v>
      </c>
      <c r="AE11" s="92">
        <v>1250.8800000000001</v>
      </c>
      <c r="AF11" s="69">
        <v>25.77</v>
      </c>
      <c r="AG11" s="92">
        <v>45.39</v>
      </c>
      <c r="AH11" s="92">
        <v>119.42</v>
      </c>
      <c r="AI11" s="92">
        <v>225.57</v>
      </c>
      <c r="AJ11" s="92">
        <v>280.57</v>
      </c>
      <c r="AK11" s="92">
        <v>599</v>
      </c>
      <c r="AL11" s="92">
        <v>1308.8499999999999</v>
      </c>
      <c r="AM11" s="92">
        <v>1464.7</v>
      </c>
      <c r="AN11" s="92">
        <v>6</v>
      </c>
      <c r="AO11" s="92">
        <v>12</v>
      </c>
      <c r="AP11" s="92">
        <v>34</v>
      </c>
      <c r="AQ11" s="92">
        <v>94</v>
      </c>
      <c r="AR11" s="76">
        <v>337</v>
      </c>
      <c r="AS11" s="76">
        <v>656</v>
      </c>
      <c r="AT11" s="92">
        <v>168.28</v>
      </c>
      <c r="AU11" s="92">
        <v>335.41</v>
      </c>
      <c r="AV11" s="92">
        <v>407</v>
      </c>
      <c r="AW11" s="92">
        <v>877</v>
      </c>
      <c r="AX11" s="92">
        <v>124</v>
      </c>
      <c r="AY11" s="92">
        <v>200</v>
      </c>
      <c r="AZ11" s="92">
        <v>956</v>
      </c>
      <c r="BA11" s="92">
        <v>1871</v>
      </c>
      <c r="BB11" s="92">
        <v>479</v>
      </c>
      <c r="BC11" s="92">
        <v>917</v>
      </c>
      <c r="BD11" s="92">
        <v>280.31</v>
      </c>
      <c r="BE11" s="92">
        <v>679.13</v>
      </c>
      <c r="BF11" s="92">
        <v>255</v>
      </c>
      <c r="BG11" s="92">
        <v>428</v>
      </c>
      <c r="BH11" s="92">
        <v>622</v>
      </c>
      <c r="BI11" s="92">
        <v>1093</v>
      </c>
      <c r="BJ11" s="92">
        <v>115</v>
      </c>
      <c r="BK11" s="92">
        <v>233</v>
      </c>
      <c r="BL11" s="68">
        <f t="shared" si="0"/>
        <v>9580.5300000000007</v>
      </c>
      <c r="BM11" s="68">
        <f t="shared" si="1"/>
        <v>18095.919999999998</v>
      </c>
    </row>
    <row r="12" spans="1:65" x14ac:dyDescent="0.25">
      <c r="A12" s="20" t="s">
        <v>177</v>
      </c>
      <c r="B12" s="92">
        <v>1234</v>
      </c>
      <c r="C12" s="92">
        <v>1410</v>
      </c>
      <c r="D12" s="92">
        <v>341</v>
      </c>
      <c r="E12" s="92">
        <v>585</v>
      </c>
      <c r="F12" s="92">
        <v>71</v>
      </c>
      <c r="G12" s="92">
        <v>118</v>
      </c>
      <c r="H12" s="92">
        <v>483</v>
      </c>
      <c r="I12" s="92">
        <v>887</v>
      </c>
      <c r="J12" s="92">
        <v>1042.02</v>
      </c>
      <c r="K12" s="92">
        <v>1783.27</v>
      </c>
      <c r="L12" s="92">
        <v>186</v>
      </c>
      <c r="M12" s="92">
        <v>358</v>
      </c>
      <c r="N12" s="92">
        <v>319.33</v>
      </c>
      <c r="O12" s="92">
        <v>402.9</v>
      </c>
      <c r="P12" s="92">
        <v>72.709999999999994</v>
      </c>
      <c r="Q12" s="92">
        <v>148.29</v>
      </c>
      <c r="R12" s="92">
        <v>2728.26</v>
      </c>
      <c r="S12" s="92">
        <v>4258.3</v>
      </c>
      <c r="T12" s="92">
        <v>7688</v>
      </c>
      <c r="U12" s="92">
        <v>12472</v>
      </c>
      <c r="V12" s="92">
        <v>12627</v>
      </c>
      <c r="W12" s="92">
        <v>21459</v>
      </c>
      <c r="X12" s="92">
        <v>2170</v>
      </c>
      <c r="Y12" s="92">
        <v>4138</v>
      </c>
      <c r="Z12" s="92">
        <v>2084</v>
      </c>
      <c r="AA12" s="92">
        <v>3515</v>
      </c>
      <c r="AB12" s="92">
        <v>125.85</v>
      </c>
      <c r="AC12" s="92">
        <v>232.26</v>
      </c>
      <c r="AD12" s="92">
        <v>654.11</v>
      </c>
      <c r="AE12" s="92">
        <v>1889.86</v>
      </c>
      <c r="AF12" s="69">
        <v>173.48</v>
      </c>
      <c r="AG12" s="92">
        <v>297.73</v>
      </c>
      <c r="AH12" s="92">
        <v>599.76</v>
      </c>
      <c r="AI12" s="92">
        <v>1091.32</v>
      </c>
      <c r="AJ12" s="92">
        <v>393</v>
      </c>
      <c r="AK12" s="92">
        <v>626.16999999999996</v>
      </c>
      <c r="AL12" s="92">
        <v>484.76</v>
      </c>
      <c r="AM12" s="92">
        <v>718.14</v>
      </c>
      <c r="AN12" s="92">
        <v>131</v>
      </c>
      <c r="AO12" s="92">
        <v>212</v>
      </c>
      <c r="AP12" s="92">
        <v>147</v>
      </c>
      <c r="AQ12" s="92">
        <v>310</v>
      </c>
      <c r="AR12" s="76">
        <v>769</v>
      </c>
      <c r="AS12" s="76">
        <v>1175</v>
      </c>
      <c r="AT12" s="92">
        <v>27.15</v>
      </c>
      <c r="AU12" s="92">
        <v>78.260000000000005</v>
      </c>
      <c r="AV12" s="92">
        <v>2697</v>
      </c>
      <c r="AW12" s="92">
        <v>4905</v>
      </c>
      <c r="AX12" s="92">
        <v>562</v>
      </c>
      <c r="AY12" s="92">
        <v>1170</v>
      </c>
      <c r="AZ12" s="92">
        <v>1012</v>
      </c>
      <c r="BA12" s="92">
        <v>1839</v>
      </c>
      <c r="BB12" s="92">
        <v>13011</v>
      </c>
      <c r="BC12" s="92">
        <v>23428</v>
      </c>
      <c r="BD12" s="92">
        <v>1940.31</v>
      </c>
      <c r="BE12" s="92">
        <v>3245.27</v>
      </c>
      <c r="BF12" s="92">
        <v>226</v>
      </c>
      <c r="BG12" s="92">
        <v>276</v>
      </c>
      <c r="BH12" s="92">
        <v>281</v>
      </c>
      <c r="BI12" s="92">
        <v>507</v>
      </c>
      <c r="BJ12" s="92">
        <v>271</v>
      </c>
      <c r="BK12" s="92">
        <v>427</v>
      </c>
      <c r="BL12" s="68">
        <f t="shared" si="0"/>
        <v>54551.74</v>
      </c>
      <c r="BM12" s="68">
        <f t="shared" si="1"/>
        <v>93962.77</v>
      </c>
    </row>
    <row r="13" spans="1:65" x14ac:dyDescent="0.25">
      <c r="A13" s="20" t="s">
        <v>178</v>
      </c>
      <c r="B13" s="92">
        <v>7149</v>
      </c>
      <c r="C13" s="92">
        <v>14669</v>
      </c>
      <c r="D13" s="92">
        <v>4910</v>
      </c>
      <c r="E13" s="92">
        <v>7594</v>
      </c>
      <c r="F13" s="92">
        <v>3002</v>
      </c>
      <c r="G13" s="92">
        <v>3764</v>
      </c>
      <c r="H13" s="92">
        <v>2732</v>
      </c>
      <c r="I13" s="92">
        <v>4660</v>
      </c>
      <c r="J13" s="92">
        <v>7500.07</v>
      </c>
      <c r="K13" s="92">
        <v>11340.48</v>
      </c>
      <c r="L13" s="92">
        <v>7725</v>
      </c>
      <c r="M13" s="92">
        <v>12804</v>
      </c>
      <c r="N13" s="92">
        <v>94.04</v>
      </c>
      <c r="O13" s="92">
        <v>133.37</v>
      </c>
      <c r="P13" s="92">
        <v>725.05</v>
      </c>
      <c r="Q13" s="92">
        <v>1248.42</v>
      </c>
      <c r="R13" s="92">
        <v>6407.06</v>
      </c>
      <c r="S13" s="92">
        <v>11400.48</v>
      </c>
      <c r="T13" s="92">
        <v>13821</v>
      </c>
      <c r="U13" s="92">
        <v>21233</v>
      </c>
      <c r="V13" s="92">
        <v>12309</v>
      </c>
      <c r="W13" s="92">
        <v>24349</v>
      </c>
      <c r="X13" s="92">
        <v>13286</v>
      </c>
      <c r="Y13" s="92">
        <v>28387</v>
      </c>
      <c r="Z13" s="92">
        <v>4670</v>
      </c>
      <c r="AA13" s="92">
        <v>7548</v>
      </c>
      <c r="AB13" s="92">
        <v>1386.99</v>
      </c>
      <c r="AC13" s="92">
        <v>2226.23</v>
      </c>
      <c r="AD13" s="92">
        <v>1445</v>
      </c>
      <c r="AE13" s="92">
        <v>2428.12</v>
      </c>
      <c r="AF13" s="69">
        <v>8645.7000000000007</v>
      </c>
      <c r="AG13" s="92">
        <v>13992.04</v>
      </c>
      <c r="AH13" s="92">
        <v>2860.36</v>
      </c>
      <c r="AI13" s="92">
        <v>4770.72</v>
      </c>
      <c r="AJ13" s="92">
        <v>4861.9799999999996</v>
      </c>
      <c r="AK13" s="92">
        <v>10046</v>
      </c>
      <c r="AL13" s="92">
        <v>375.92</v>
      </c>
      <c r="AM13" s="92">
        <v>402.63</v>
      </c>
      <c r="AN13" s="92">
        <v>2826</v>
      </c>
      <c r="AO13" s="92">
        <v>3029</v>
      </c>
      <c r="AP13" s="92">
        <v>1476</v>
      </c>
      <c r="AQ13" s="92">
        <v>3187</v>
      </c>
      <c r="AR13" s="76">
        <v>25124</v>
      </c>
      <c r="AS13" s="76">
        <v>41872</v>
      </c>
      <c r="AT13" s="92">
        <v>1744.01</v>
      </c>
      <c r="AU13" s="92">
        <v>2421.3200000000002</v>
      </c>
      <c r="AV13" s="92">
        <v>5664</v>
      </c>
      <c r="AW13" s="92">
        <v>8210</v>
      </c>
      <c r="AX13" s="76"/>
      <c r="AY13" s="76">
        <v>3</v>
      </c>
      <c r="AZ13" s="92">
        <v>4633</v>
      </c>
      <c r="BA13" s="92">
        <v>7154</v>
      </c>
      <c r="BB13" s="92">
        <v>17612</v>
      </c>
      <c r="BC13" s="92">
        <v>23002</v>
      </c>
      <c r="BD13" s="92">
        <v>1506.32</v>
      </c>
      <c r="BE13" s="92">
        <v>2104.81</v>
      </c>
      <c r="BF13" s="92">
        <v>148</v>
      </c>
      <c r="BG13" s="92">
        <v>148</v>
      </c>
      <c r="BH13" s="92">
        <v>-22</v>
      </c>
      <c r="BI13" s="92">
        <v>-15</v>
      </c>
      <c r="BJ13" s="92">
        <v>73</v>
      </c>
      <c r="BK13" s="92">
        <v>221</v>
      </c>
      <c r="BL13" s="68">
        <f t="shared" si="0"/>
        <v>164690.5</v>
      </c>
      <c r="BM13" s="68">
        <f t="shared" si="1"/>
        <v>274333.62000000005</v>
      </c>
    </row>
    <row r="14" spans="1:65" x14ac:dyDescent="0.25">
      <c r="A14" s="20" t="s">
        <v>179</v>
      </c>
      <c r="B14" s="92">
        <v>84</v>
      </c>
      <c r="C14" s="92">
        <v>143</v>
      </c>
      <c r="D14" s="92">
        <v>87</v>
      </c>
      <c r="E14" s="92">
        <v>155</v>
      </c>
      <c r="F14" s="92">
        <v>3</v>
      </c>
      <c r="G14" s="92">
        <v>3</v>
      </c>
      <c r="H14" s="92">
        <v>776</v>
      </c>
      <c r="I14" s="92">
        <v>1450</v>
      </c>
      <c r="J14" s="92">
        <v>242.45</v>
      </c>
      <c r="K14" s="92">
        <v>463.46</v>
      </c>
      <c r="L14" s="92">
        <v>464</v>
      </c>
      <c r="M14" s="92">
        <v>776</v>
      </c>
      <c r="N14" s="92">
        <v>2.39</v>
      </c>
      <c r="O14" s="92">
        <v>2.5099999999999998</v>
      </c>
      <c r="P14" s="92">
        <v>14.83</v>
      </c>
      <c r="Q14" s="92">
        <v>26.68</v>
      </c>
      <c r="R14" s="92">
        <v>189.65</v>
      </c>
      <c r="S14" s="92">
        <v>357.69</v>
      </c>
      <c r="T14" s="92">
        <v>265</v>
      </c>
      <c r="U14" s="92">
        <v>480</v>
      </c>
      <c r="V14" s="92">
        <v>849</v>
      </c>
      <c r="W14" s="92">
        <v>1789</v>
      </c>
      <c r="X14" s="92">
        <v>1348</v>
      </c>
      <c r="Y14" s="92">
        <v>2448</v>
      </c>
      <c r="Z14" s="92">
        <v>725</v>
      </c>
      <c r="AA14" s="92">
        <v>1152</v>
      </c>
      <c r="AB14" s="92">
        <v>15.89</v>
      </c>
      <c r="AC14" s="92">
        <v>57.37</v>
      </c>
      <c r="AD14" s="92">
        <v>90.61</v>
      </c>
      <c r="AE14" s="92">
        <v>166.19</v>
      </c>
      <c r="AF14" s="69">
        <v>158.32</v>
      </c>
      <c r="AG14" s="92">
        <v>270.39</v>
      </c>
      <c r="AH14" s="92">
        <v>73.47</v>
      </c>
      <c r="AI14" s="92">
        <v>150.25</v>
      </c>
      <c r="AJ14" s="92">
        <v>222.52</v>
      </c>
      <c r="AK14" s="92">
        <v>416.58</v>
      </c>
      <c r="AL14" s="92">
        <v>1201.8</v>
      </c>
      <c r="AM14" s="92">
        <v>1269.33</v>
      </c>
      <c r="AN14" s="92">
        <v>4</v>
      </c>
      <c r="AO14" s="92">
        <v>5</v>
      </c>
      <c r="AP14" s="92">
        <v>52</v>
      </c>
      <c r="AQ14" s="92">
        <v>89</v>
      </c>
      <c r="AR14" s="76">
        <v>427</v>
      </c>
      <c r="AS14" s="76">
        <v>808</v>
      </c>
      <c r="AT14" s="92">
        <v>198.11</v>
      </c>
      <c r="AU14" s="92">
        <v>344.9</v>
      </c>
      <c r="AV14" s="92">
        <v>289</v>
      </c>
      <c r="AW14" s="92">
        <v>519</v>
      </c>
      <c r="AX14" s="76">
        <v>173</v>
      </c>
      <c r="AY14" s="76">
        <v>339</v>
      </c>
      <c r="AZ14" s="92">
        <v>66</v>
      </c>
      <c r="BA14" s="92">
        <v>127</v>
      </c>
      <c r="BB14" s="92">
        <v>508</v>
      </c>
      <c r="BC14" s="92">
        <v>936</v>
      </c>
      <c r="BD14" s="92">
        <v>572.36</v>
      </c>
      <c r="BE14" s="92">
        <v>1106.1300000000001</v>
      </c>
      <c r="BF14" s="92">
        <v>311</v>
      </c>
      <c r="BG14" s="92">
        <v>382</v>
      </c>
      <c r="BH14" s="92">
        <v>831</v>
      </c>
      <c r="BI14" s="92">
        <v>1538</v>
      </c>
      <c r="BJ14" s="92">
        <v>202</v>
      </c>
      <c r="BK14" s="92">
        <v>299</v>
      </c>
      <c r="BL14" s="68">
        <f t="shared" si="0"/>
        <v>10446.400000000001</v>
      </c>
      <c r="BM14" s="68">
        <f t="shared" si="1"/>
        <v>18069.48</v>
      </c>
    </row>
    <row r="15" spans="1:65" x14ac:dyDescent="0.25">
      <c r="A15" s="21" t="s">
        <v>31</v>
      </c>
      <c r="B15" s="76">
        <f>B17-B16-B14-B13-B12-B11-B10-B9-B8-B7-B6-B5</f>
        <v>1179</v>
      </c>
      <c r="C15" s="92">
        <f t="shared" ref="C15:BK15" si="2">C17-C16-C14-C13-C12-C11-C10-C9-C8-C7-C6-C5</f>
        <v>2225</v>
      </c>
      <c r="D15" s="92">
        <f t="shared" si="2"/>
        <v>3787</v>
      </c>
      <c r="E15" s="92">
        <f t="shared" si="2"/>
        <v>5928</v>
      </c>
      <c r="F15" s="92">
        <f t="shared" si="2"/>
        <v>6625</v>
      </c>
      <c r="G15" s="92">
        <f t="shared" si="2"/>
        <v>10020</v>
      </c>
      <c r="H15" s="92">
        <f t="shared" si="2"/>
        <v>27934</v>
      </c>
      <c r="I15" s="92">
        <f t="shared" si="2"/>
        <v>50027</v>
      </c>
      <c r="J15" s="92">
        <f t="shared" si="2"/>
        <v>1121.7199999999993</v>
      </c>
      <c r="K15" s="92">
        <f t="shared" si="2"/>
        <v>2159.5999999999949</v>
      </c>
      <c r="L15" s="92">
        <f t="shared" si="2"/>
        <v>20067</v>
      </c>
      <c r="M15" s="92">
        <f t="shared" si="2"/>
        <v>35478</v>
      </c>
      <c r="N15" s="92">
        <f t="shared" si="2"/>
        <v>974.23999999999887</v>
      </c>
      <c r="O15" s="92">
        <f t="shared" si="2"/>
        <v>1483.9900000000016</v>
      </c>
      <c r="P15" s="92">
        <f t="shared" si="2"/>
        <v>542.01000000000045</v>
      </c>
      <c r="Q15" s="92">
        <f t="shared" si="2"/>
        <v>1096.9700000000012</v>
      </c>
      <c r="R15" s="92">
        <f t="shared" si="2"/>
        <v>6699.7299999999968</v>
      </c>
      <c r="S15" s="92">
        <f t="shared" si="2"/>
        <v>12631.050000000001</v>
      </c>
      <c r="T15" s="92">
        <f t="shared" si="2"/>
        <v>5007</v>
      </c>
      <c r="U15" s="92">
        <f t="shared" si="2"/>
        <v>8825</v>
      </c>
      <c r="V15" s="92">
        <f t="shared" si="2"/>
        <v>5311</v>
      </c>
      <c r="W15" s="92">
        <f t="shared" si="2"/>
        <v>10684</v>
      </c>
      <c r="X15" s="92">
        <f t="shared" si="2"/>
        <v>45961</v>
      </c>
      <c r="Y15" s="92">
        <f t="shared" si="2"/>
        <v>78326</v>
      </c>
      <c r="Z15" s="92">
        <f t="shared" si="2"/>
        <v>2818</v>
      </c>
      <c r="AA15" s="92">
        <f t="shared" si="2"/>
        <v>4844</v>
      </c>
      <c r="AB15" s="92">
        <f t="shared" si="2"/>
        <v>893.98</v>
      </c>
      <c r="AC15" s="92">
        <f t="shared" si="2"/>
        <v>1850.6500000000005</v>
      </c>
      <c r="AD15" s="92">
        <f t="shared" si="2"/>
        <v>4070.0999999999995</v>
      </c>
      <c r="AE15" s="92">
        <f t="shared" si="2"/>
        <v>8043.9700000000012</v>
      </c>
      <c r="AF15" s="92">
        <f t="shared" si="2"/>
        <v>498</v>
      </c>
      <c r="AG15" s="92">
        <f t="shared" si="2"/>
        <v>1071.9100000000017</v>
      </c>
      <c r="AH15" s="92">
        <f t="shared" si="2"/>
        <v>1115.4499999999998</v>
      </c>
      <c r="AI15" s="92">
        <f t="shared" si="2"/>
        <v>2078.2700000000013</v>
      </c>
      <c r="AJ15" s="92">
        <f t="shared" si="2"/>
        <v>1164.8099999999977</v>
      </c>
      <c r="AK15" s="92">
        <f t="shared" si="2"/>
        <v>2167.1800000000003</v>
      </c>
      <c r="AL15" s="92">
        <f t="shared" si="2"/>
        <v>8632.2800000000134</v>
      </c>
      <c r="AM15" s="92">
        <f t="shared" si="2"/>
        <v>15152.940000000002</v>
      </c>
      <c r="AN15" s="92">
        <f t="shared" si="2"/>
        <v>276</v>
      </c>
      <c r="AO15" s="92">
        <f t="shared" si="2"/>
        <v>356</v>
      </c>
      <c r="AP15" s="92">
        <f t="shared" si="2"/>
        <v>328</v>
      </c>
      <c r="AQ15" s="92">
        <f t="shared" si="2"/>
        <v>803</v>
      </c>
      <c r="AR15" s="92">
        <f t="shared" si="2"/>
        <v>4400</v>
      </c>
      <c r="AS15" s="92">
        <f t="shared" si="2"/>
        <v>6721</v>
      </c>
      <c r="AT15" s="92">
        <f t="shared" si="2"/>
        <v>4844.029999999997</v>
      </c>
      <c r="AU15" s="92">
        <f t="shared" si="2"/>
        <v>10331.979999999998</v>
      </c>
      <c r="AV15" s="92">
        <f t="shared" si="2"/>
        <v>10335</v>
      </c>
      <c r="AW15" s="92">
        <f t="shared" si="2"/>
        <v>17845</v>
      </c>
      <c r="AX15" s="92">
        <f t="shared" si="2"/>
        <v>5476</v>
      </c>
      <c r="AY15" s="92">
        <f t="shared" si="2"/>
        <v>10334</v>
      </c>
      <c r="AZ15" s="92">
        <f t="shared" si="2"/>
        <v>6907</v>
      </c>
      <c r="BA15" s="92">
        <f t="shared" si="2"/>
        <v>5566</v>
      </c>
      <c r="BB15" s="92">
        <f t="shared" si="2"/>
        <v>4055</v>
      </c>
      <c r="BC15" s="92">
        <f t="shared" si="2"/>
        <v>7172</v>
      </c>
      <c r="BD15" s="92">
        <f t="shared" si="2"/>
        <v>10548.869999999988</v>
      </c>
      <c r="BE15" s="92">
        <f t="shared" si="2"/>
        <v>23444.879999999976</v>
      </c>
      <c r="BF15" s="92">
        <f t="shared" si="2"/>
        <v>5853</v>
      </c>
      <c r="BG15" s="92">
        <f t="shared" si="2"/>
        <v>8304</v>
      </c>
      <c r="BH15" s="92">
        <f t="shared" si="2"/>
        <v>8227</v>
      </c>
      <c r="BI15" s="92">
        <f t="shared" si="2"/>
        <v>11700</v>
      </c>
      <c r="BJ15" s="92">
        <f t="shared" si="2"/>
        <v>5115</v>
      </c>
      <c r="BK15" s="92">
        <f t="shared" si="2"/>
        <v>7289</v>
      </c>
      <c r="BL15" s="68">
        <f t="shared" si="0"/>
        <v>210766.22</v>
      </c>
      <c r="BM15" s="68">
        <f t="shared" si="1"/>
        <v>363960.3899999999</v>
      </c>
    </row>
    <row r="16" spans="1:65" x14ac:dyDescent="0.25">
      <c r="A16" s="20" t="s">
        <v>180</v>
      </c>
      <c r="B16" s="76">
        <v>47</v>
      </c>
      <c r="C16" s="76">
        <v>47</v>
      </c>
      <c r="D16" s="76"/>
      <c r="E16" s="76"/>
      <c r="F16" s="76"/>
      <c r="G16" s="76"/>
      <c r="H16" s="92">
        <v>456</v>
      </c>
      <c r="I16" s="92">
        <v>478</v>
      </c>
      <c r="J16" s="92">
        <v>0.09</v>
      </c>
      <c r="K16" s="92">
        <v>1.05</v>
      </c>
      <c r="L16" s="76"/>
      <c r="M16" s="76"/>
      <c r="N16" s="76"/>
      <c r="O16" s="76"/>
      <c r="P16" s="76"/>
      <c r="Q16" s="76"/>
      <c r="R16" s="92">
        <v>176.5</v>
      </c>
      <c r="S16" s="92">
        <v>443.37</v>
      </c>
      <c r="T16" s="76"/>
      <c r="U16" s="76"/>
      <c r="V16" s="92">
        <v>120</v>
      </c>
      <c r="W16" s="76">
        <v>227</v>
      </c>
      <c r="X16" s="92">
        <v>-208</v>
      </c>
      <c r="Y16" s="92">
        <v>373</v>
      </c>
      <c r="Z16" s="76"/>
      <c r="AA16" s="76"/>
      <c r="AB16" s="76"/>
      <c r="AC16" s="76"/>
      <c r="AD16" s="76"/>
      <c r="AE16" s="76"/>
      <c r="AF16" s="69">
        <v>3.73</v>
      </c>
      <c r="AG16" s="92">
        <v>3.73</v>
      </c>
      <c r="AH16" s="76"/>
      <c r="AI16" s="76"/>
      <c r="AJ16" s="92">
        <v>7.0000000000000007E-2</v>
      </c>
      <c r="AK16" s="92">
        <v>1.63</v>
      </c>
      <c r="AL16" s="92">
        <v>1070.52</v>
      </c>
      <c r="AM16" s="92">
        <v>787.86</v>
      </c>
      <c r="AN16" s="76">
        <v>2</v>
      </c>
      <c r="AO16" s="76">
        <v>19</v>
      </c>
      <c r="AP16" s="92">
        <v>14</v>
      </c>
      <c r="AQ16" s="92">
        <v>18</v>
      </c>
      <c r="AR16" s="76">
        <v>385</v>
      </c>
      <c r="AS16" s="76">
        <v>592</v>
      </c>
      <c r="AT16" s="92">
        <v>5.68</v>
      </c>
      <c r="AU16" s="92">
        <v>16.12</v>
      </c>
      <c r="AV16" s="76"/>
      <c r="AW16" s="76"/>
      <c r="AX16" s="76"/>
      <c r="AY16" s="76"/>
      <c r="AZ16" s="76"/>
      <c r="BA16" s="76"/>
      <c r="BB16" s="92">
        <v>99</v>
      </c>
      <c r="BC16" s="92">
        <v>223</v>
      </c>
      <c r="BD16" s="92">
        <v>2832.13</v>
      </c>
      <c r="BE16" s="92">
        <v>3708.4</v>
      </c>
      <c r="BF16" s="76"/>
      <c r="BG16" s="76"/>
      <c r="BH16" s="92">
        <v>948</v>
      </c>
      <c r="BI16" s="92">
        <v>1787</v>
      </c>
      <c r="BJ16" s="76"/>
      <c r="BK16" s="76"/>
      <c r="BL16" s="68">
        <f t="shared" si="0"/>
        <v>5951.7199999999993</v>
      </c>
      <c r="BM16" s="68">
        <f t="shared" si="1"/>
        <v>8726.16</v>
      </c>
    </row>
    <row r="17" spans="1:65" s="7" customFormat="1" x14ac:dyDescent="0.25">
      <c r="A17" s="3" t="s">
        <v>40</v>
      </c>
      <c r="B17" s="10">
        <v>11684</v>
      </c>
      <c r="C17" s="10">
        <v>22626</v>
      </c>
      <c r="D17" s="10">
        <v>18203</v>
      </c>
      <c r="E17" s="10">
        <v>32458</v>
      </c>
      <c r="F17" s="10">
        <v>13044</v>
      </c>
      <c r="G17" s="10">
        <v>20490</v>
      </c>
      <c r="H17" s="10">
        <v>54355</v>
      </c>
      <c r="I17" s="10">
        <v>101679</v>
      </c>
      <c r="J17" s="10">
        <v>24757.279999999999</v>
      </c>
      <c r="K17" s="10">
        <v>45335.78</v>
      </c>
      <c r="L17" s="10">
        <v>32978</v>
      </c>
      <c r="M17" s="10">
        <v>59140</v>
      </c>
      <c r="N17" s="10">
        <v>6010.72</v>
      </c>
      <c r="O17" s="10">
        <v>11288.5</v>
      </c>
      <c r="P17" s="10">
        <v>2975.81</v>
      </c>
      <c r="Q17" s="10">
        <v>5959.81</v>
      </c>
      <c r="R17" s="10">
        <v>25724.41</v>
      </c>
      <c r="S17" s="10">
        <v>46195.99</v>
      </c>
      <c r="T17" s="10">
        <v>31565</v>
      </c>
      <c r="U17" s="10">
        <v>52328</v>
      </c>
      <c r="V17" s="10">
        <v>50294</v>
      </c>
      <c r="W17" s="10">
        <v>95861</v>
      </c>
      <c r="X17" s="10">
        <v>93754</v>
      </c>
      <c r="Y17" s="10">
        <v>176787</v>
      </c>
      <c r="Z17" s="10">
        <v>23112</v>
      </c>
      <c r="AA17" s="10">
        <v>42606</v>
      </c>
      <c r="AB17" s="10">
        <v>5217.6000000000004</v>
      </c>
      <c r="AC17" s="10">
        <v>9462.2900000000009</v>
      </c>
      <c r="AD17" s="10">
        <v>11430.89</v>
      </c>
      <c r="AE17" s="10">
        <v>23499.05</v>
      </c>
      <c r="AF17" s="10">
        <v>12950.5</v>
      </c>
      <c r="AG17" s="10">
        <v>22450.61</v>
      </c>
      <c r="AH17" s="10">
        <v>9250.33</v>
      </c>
      <c r="AI17" s="10">
        <v>16974.55</v>
      </c>
      <c r="AJ17" s="10">
        <v>17668.099999999999</v>
      </c>
      <c r="AK17" s="10">
        <v>35393.82</v>
      </c>
      <c r="AL17" s="10">
        <v>78960.490000000005</v>
      </c>
      <c r="AM17" s="10">
        <v>137662.78</v>
      </c>
      <c r="AN17" s="10">
        <v>4414</v>
      </c>
      <c r="AO17" s="10">
        <v>5660</v>
      </c>
      <c r="AP17" s="10">
        <v>3408</v>
      </c>
      <c r="AQ17" s="10">
        <v>7411</v>
      </c>
      <c r="AR17" s="10">
        <v>46000</v>
      </c>
      <c r="AS17" s="10">
        <v>81047</v>
      </c>
      <c r="AT17" s="10">
        <v>12842.02</v>
      </c>
      <c r="AU17" s="10">
        <v>25164.81</v>
      </c>
      <c r="AV17" s="10">
        <v>31813</v>
      </c>
      <c r="AW17" s="10">
        <v>57118</v>
      </c>
      <c r="AX17" s="10">
        <v>9746</v>
      </c>
      <c r="AY17" s="10">
        <v>18318</v>
      </c>
      <c r="AZ17" s="10">
        <v>50337</v>
      </c>
      <c r="BA17" s="10">
        <v>85442</v>
      </c>
      <c r="BB17" s="10">
        <v>55960</v>
      </c>
      <c r="BC17" s="10">
        <v>97487</v>
      </c>
      <c r="BD17" s="10">
        <v>81929.42</v>
      </c>
      <c r="BE17" s="10">
        <v>189072.02</v>
      </c>
      <c r="BF17" s="10">
        <v>63203</v>
      </c>
      <c r="BG17" s="10">
        <v>137600</v>
      </c>
      <c r="BH17" s="10">
        <v>89818</v>
      </c>
      <c r="BI17" s="10">
        <v>173314</v>
      </c>
      <c r="BJ17" s="10">
        <v>8646</v>
      </c>
      <c r="BK17" s="10">
        <v>15672</v>
      </c>
      <c r="BL17" s="63">
        <f t="shared" si="0"/>
        <v>982051.57</v>
      </c>
      <c r="BM17" s="63">
        <f t="shared" si="1"/>
        <v>1851504.0100000002</v>
      </c>
    </row>
  </sheetData>
  <mergeCells count="32">
    <mergeCell ref="J3:K3"/>
    <mergeCell ref="B3:C3"/>
    <mergeCell ref="D3:E3"/>
    <mergeCell ref="F3:G3"/>
    <mergeCell ref="H3:I3"/>
    <mergeCell ref="BB3:BC3"/>
    <mergeCell ref="AF3:AG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R3:AS3"/>
    <mergeCell ref="AT3:AU3"/>
    <mergeCell ref="AV3:AW3"/>
    <mergeCell ref="AX3:AY3"/>
    <mergeCell ref="AZ3:BA3"/>
    <mergeCell ref="AH3:AI3"/>
    <mergeCell ref="AJ3:AK3"/>
    <mergeCell ref="AL3:AM3"/>
    <mergeCell ref="AN3:AO3"/>
    <mergeCell ref="AP3:AQ3"/>
    <mergeCell ref="BF3:BG3"/>
    <mergeCell ref="BH3:BI3"/>
    <mergeCell ref="BJ3:BK3"/>
    <mergeCell ref="BL3:BM3"/>
    <mergeCell ref="BD3:BE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71" customWidth="1"/>
    <col min="2" max="32" width="16" style="71" customWidth="1"/>
    <col min="33" max="33" width="16" style="7" customWidth="1"/>
    <col min="34" max="16384" width="9.140625" style="71"/>
  </cols>
  <sheetData>
    <row r="1" spans="1:33" ht="18.75" x14ac:dyDescent="0.3">
      <c r="A1" s="8" t="s">
        <v>247</v>
      </c>
    </row>
    <row r="2" spans="1:33" x14ac:dyDescent="0.25">
      <c r="A2" s="71" t="s">
        <v>98</v>
      </c>
    </row>
    <row r="3" spans="1:33" x14ac:dyDescent="0.25">
      <c r="A3" s="1" t="s">
        <v>0</v>
      </c>
      <c r="B3" s="104" t="s">
        <v>1</v>
      </c>
      <c r="C3" s="104" t="s">
        <v>233</v>
      </c>
      <c r="D3" s="104" t="s">
        <v>2</v>
      </c>
      <c r="E3" s="104" t="s">
        <v>3</v>
      </c>
      <c r="F3" s="104" t="s">
        <v>242</v>
      </c>
      <c r="G3" s="104" t="s">
        <v>234</v>
      </c>
      <c r="H3" s="104" t="s">
        <v>5</v>
      </c>
      <c r="I3" s="104" t="s">
        <v>4</v>
      </c>
      <c r="J3" s="104" t="s">
        <v>6</v>
      </c>
      <c r="K3" s="104" t="s">
        <v>254</v>
      </c>
      <c r="L3" s="104" t="s">
        <v>7</v>
      </c>
      <c r="M3" s="104" t="s">
        <v>8</v>
      </c>
      <c r="N3" s="104" t="s">
        <v>9</v>
      </c>
      <c r="O3" s="104" t="s">
        <v>241</v>
      </c>
      <c r="P3" s="104" t="s">
        <v>10</v>
      </c>
      <c r="Q3" s="104" t="s">
        <v>11</v>
      </c>
      <c r="R3" s="104" t="s">
        <v>235</v>
      </c>
      <c r="S3" s="104" t="s">
        <v>253</v>
      </c>
      <c r="T3" s="104" t="s">
        <v>12</v>
      </c>
      <c r="U3" s="104" t="s">
        <v>236</v>
      </c>
      <c r="V3" s="104" t="s">
        <v>237</v>
      </c>
      <c r="W3" s="104" t="s">
        <v>240</v>
      </c>
      <c r="X3" s="104" t="s">
        <v>13</v>
      </c>
      <c r="Y3" s="104" t="s">
        <v>14</v>
      </c>
      <c r="Z3" s="104" t="s">
        <v>15</v>
      </c>
      <c r="AA3" s="104" t="s">
        <v>16</v>
      </c>
      <c r="AB3" s="104" t="s">
        <v>17</v>
      </c>
      <c r="AC3" s="103" t="s">
        <v>238</v>
      </c>
      <c r="AD3" s="103" t="s">
        <v>239</v>
      </c>
      <c r="AE3" s="103" t="s">
        <v>18</v>
      </c>
      <c r="AF3" s="104" t="s">
        <v>19</v>
      </c>
      <c r="AG3" s="84" t="s">
        <v>20</v>
      </c>
    </row>
    <row r="4" spans="1:33" x14ac:dyDescent="0.25">
      <c r="A4" s="76" t="s">
        <v>33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76">
        <v>5.75</v>
      </c>
      <c r="AD4" s="76">
        <v>26</v>
      </c>
      <c r="AE4" s="76">
        <v>136</v>
      </c>
      <c r="AF4" s="76"/>
      <c r="AG4" s="64">
        <f t="shared" ref="AG4:AG11" si="0">SUM(B4:AF4)</f>
        <v>167.75</v>
      </c>
    </row>
    <row r="5" spans="1:33" x14ac:dyDescent="0.25">
      <c r="A5" s="76" t="s">
        <v>34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76"/>
      <c r="AD5" s="76"/>
      <c r="AE5" s="76"/>
      <c r="AF5" s="76"/>
      <c r="AG5" s="64">
        <f t="shared" si="0"/>
        <v>0</v>
      </c>
    </row>
    <row r="6" spans="1:33" x14ac:dyDescent="0.25">
      <c r="A6" s="76" t="s">
        <v>35</v>
      </c>
      <c r="B6" s="92"/>
      <c r="C6" s="92">
        <v>125379</v>
      </c>
      <c r="D6" s="92"/>
      <c r="E6" s="92">
        <v>16662</v>
      </c>
      <c r="F6" s="92">
        <v>29252.880000000001</v>
      </c>
      <c r="G6" s="92">
        <v>14326</v>
      </c>
      <c r="H6" s="92">
        <v>295572.28999999998</v>
      </c>
      <c r="I6" s="92"/>
      <c r="J6" s="92"/>
      <c r="K6" s="92">
        <v>106285</v>
      </c>
      <c r="L6" s="92">
        <f>140125+1534</f>
        <v>141659</v>
      </c>
      <c r="M6" s="92">
        <v>637722</v>
      </c>
      <c r="N6" s="92">
        <v>45198</v>
      </c>
      <c r="O6" s="92"/>
      <c r="P6" s="92">
        <v>74812.490000000005</v>
      </c>
      <c r="Q6" s="92">
        <v>27962.240000000002</v>
      </c>
      <c r="R6" s="92">
        <v>33201.980000000003</v>
      </c>
      <c r="S6" s="92">
        <f>5675.29+6825.52</f>
        <v>12500.810000000001</v>
      </c>
      <c r="T6" s="92"/>
      <c r="U6" s="92"/>
      <c r="V6" s="92">
        <v>12315</v>
      </c>
      <c r="W6" s="92">
        <v>76671</v>
      </c>
      <c r="X6" s="92">
        <v>25500</v>
      </c>
      <c r="Y6" s="92">
        <v>133522</v>
      </c>
      <c r="Z6" s="92">
        <v>20</v>
      </c>
      <c r="AA6" s="92">
        <v>375017</v>
      </c>
      <c r="AB6" s="92">
        <v>47054</v>
      </c>
      <c r="AC6" s="76">
        <v>189085.42</v>
      </c>
      <c r="AD6" s="76"/>
      <c r="AE6" s="76"/>
      <c r="AF6" s="76">
        <v>16762</v>
      </c>
      <c r="AG6" s="64">
        <f t="shared" si="0"/>
        <v>2436480.11</v>
      </c>
    </row>
    <row r="7" spans="1:33" x14ac:dyDescent="0.25">
      <c r="A7" s="76" t="s">
        <v>36</v>
      </c>
      <c r="B7" s="92"/>
      <c r="C7" s="92"/>
      <c r="D7" s="92">
        <v>443399</v>
      </c>
      <c r="E7" s="92"/>
      <c r="F7" s="92"/>
      <c r="G7" s="92">
        <v>78476</v>
      </c>
      <c r="H7" s="92"/>
      <c r="I7" s="92"/>
      <c r="J7" s="92"/>
      <c r="K7" s="92"/>
      <c r="L7" s="92"/>
      <c r="M7" s="92">
        <v>6107</v>
      </c>
      <c r="N7" s="92"/>
      <c r="O7" s="92"/>
      <c r="P7" s="92"/>
      <c r="Q7" s="92"/>
      <c r="R7" s="92"/>
      <c r="S7" s="92"/>
      <c r="T7" s="92"/>
      <c r="U7" s="92"/>
      <c r="V7" s="92"/>
      <c r="W7" s="92"/>
      <c r="X7" s="92">
        <v>500</v>
      </c>
      <c r="Y7" s="92"/>
      <c r="Z7" s="92"/>
      <c r="AA7" s="92"/>
      <c r="AB7" s="92">
        <v>1512</v>
      </c>
      <c r="AC7" s="76">
        <v>1483708.39</v>
      </c>
      <c r="AD7" s="76">
        <v>-166045</v>
      </c>
      <c r="AE7" s="76"/>
      <c r="AF7" s="76"/>
      <c r="AG7" s="64">
        <f t="shared" si="0"/>
        <v>1847657.39</v>
      </c>
    </row>
    <row r="8" spans="1:33" x14ac:dyDescent="0.25">
      <c r="A8" s="76" t="s">
        <v>37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>
        <v>12</v>
      </c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76"/>
      <c r="AD8" s="76"/>
      <c r="AE8" s="76"/>
      <c r="AF8" s="76"/>
      <c r="AG8" s="64">
        <f t="shared" si="0"/>
        <v>12</v>
      </c>
    </row>
    <row r="9" spans="1:33" x14ac:dyDescent="0.25">
      <c r="A9" s="76" t="s">
        <v>38</v>
      </c>
      <c r="B9" s="92">
        <f>B11-B10-B8-B7-B6-B5-B4</f>
        <v>107</v>
      </c>
      <c r="C9" s="92">
        <f t="shared" ref="C9:AB9" si="1">C11-C10-C8-C7-C6-C5-C4</f>
        <v>0</v>
      </c>
      <c r="D9" s="92">
        <f>D11-D10-D8-D7-D6-D5-D4</f>
        <v>0</v>
      </c>
      <c r="E9" s="92">
        <f t="shared" si="1"/>
        <v>0</v>
      </c>
      <c r="F9" s="92">
        <f t="shared" si="1"/>
        <v>1617.119999999999</v>
      </c>
      <c r="G9" s="92">
        <f t="shared" si="1"/>
        <v>2000</v>
      </c>
      <c r="H9" s="92">
        <f t="shared" si="1"/>
        <v>6000</v>
      </c>
      <c r="I9" s="92">
        <f t="shared" si="1"/>
        <v>0</v>
      </c>
      <c r="J9" s="92">
        <f t="shared" si="1"/>
        <v>0</v>
      </c>
      <c r="K9" s="92">
        <f t="shared" si="1"/>
        <v>2361</v>
      </c>
      <c r="L9" s="92">
        <f t="shared" si="1"/>
        <v>33595</v>
      </c>
      <c r="M9" s="92">
        <f t="shared" si="1"/>
        <v>0</v>
      </c>
      <c r="N9" s="92">
        <f t="shared" si="1"/>
        <v>-1</v>
      </c>
      <c r="O9" s="92">
        <f t="shared" si="1"/>
        <v>0</v>
      </c>
      <c r="P9" s="92">
        <f t="shared" si="1"/>
        <v>0</v>
      </c>
      <c r="Q9" s="92">
        <f t="shared" si="1"/>
        <v>0</v>
      </c>
      <c r="R9" s="92">
        <f t="shared" si="1"/>
        <v>0</v>
      </c>
      <c r="S9" s="92">
        <f t="shared" si="1"/>
        <v>3.429999999998472</v>
      </c>
      <c r="T9" s="92">
        <f t="shared" si="1"/>
        <v>1587.1</v>
      </c>
      <c r="U9" s="92">
        <f t="shared" si="1"/>
        <v>0</v>
      </c>
      <c r="V9" s="92">
        <f t="shared" si="1"/>
        <v>0</v>
      </c>
      <c r="W9" s="92">
        <f t="shared" si="1"/>
        <v>2076</v>
      </c>
      <c r="X9" s="92">
        <f t="shared" si="1"/>
        <v>500</v>
      </c>
      <c r="Y9" s="92">
        <f t="shared" si="1"/>
        <v>0</v>
      </c>
      <c r="Z9" s="92">
        <f t="shared" si="1"/>
        <v>-1</v>
      </c>
      <c r="AA9" s="92">
        <f t="shared" si="1"/>
        <v>1500</v>
      </c>
      <c r="AB9" s="92">
        <f t="shared" si="1"/>
        <v>4451</v>
      </c>
      <c r="AC9" s="76">
        <f t="shared" ref="AC9:AF9" si="2">AC11-AC10-AC8-AC7-AC6-AC5-AC4</f>
        <v>167639.05000000019</v>
      </c>
      <c r="AD9" s="76">
        <f t="shared" si="2"/>
        <v>0</v>
      </c>
      <c r="AE9" s="76">
        <f t="shared" si="2"/>
        <v>10822</v>
      </c>
      <c r="AF9" s="76">
        <f t="shared" si="2"/>
        <v>0</v>
      </c>
      <c r="AG9" s="64">
        <f t="shared" si="0"/>
        <v>234256.70000000019</v>
      </c>
    </row>
    <row r="10" spans="1:33" x14ac:dyDescent="0.25">
      <c r="A10" s="76" t="s">
        <v>39</v>
      </c>
      <c r="B10" s="92"/>
      <c r="C10" s="92"/>
      <c r="D10" s="92">
        <v>27425</v>
      </c>
      <c r="E10" s="92">
        <v>764361</v>
      </c>
      <c r="F10" s="92"/>
      <c r="G10" s="92">
        <v>68135</v>
      </c>
      <c r="H10" s="92">
        <v>33764.83</v>
      </c>
      <c r="I10" s="92"/>
      <c r="J10" s="92">
        <v>26161.24</v>
      </c>
      <c r="K10" s="92"/>
      <c r="L10" s="92">
        <v>93116</v>
      </c>
      <c r="M10" s="92">
        <v>171965</v>
      </c>
      <c r="N10" s="92">
        <v>206348</v>
      </c>
      <c r="O10" s="92"/>
      <c r="P10" s="92"/>
      <c r="Q10" s="92">
        <v>631.12</v>
      </c>
      <c r="R10" s="92"/>
      <c r="S10" s="92"/>
      <c r="T10" s="92"/>
      <c r="U10" s="92"/>
      <c r="V10" s="92"/>
      <c r="W10" s="92">
        <v>116338</v>
      </c>
      <c r="X10" s="92">
        <v>70972.36</v>
      </c>
      <c r="Y10" s="92">
        <v>131458</v>
      </c>
      <c r="Z10" s="92">
        <v>194130</v>
      </c>
      <c r="AA10" s="92"/>
      <c r="AB10" s="92">
        <v>176290</v>
      </c>
      <c r="AC10" s="76"/>
      <c r="AD10" s="76"/>
      <c r="AE10" s="76"/>
      <c r="AF10" s="76">
        <v>52950</v>
      </c>
      <c r="AG10" s="64">
        <f t="shared" si="0"/>
        <v>2134045.5499999998</v>
      </c>
    </row>
    <row r="11" spans="1:33" s="7" customFormat="1" x14ac:dyDescent="0.25">
      <c r="A11" s="10" t="s">
        <v>40</v>
      </c>
      <c r="B11" s="10">
        <v>107</v>
      </c>
      <c r="C11" s="10">
        <v>125379</v>
      </c>
      <c r="D11" s="10">
        <v>470824</v>
      </c>
      <c r="E11" s="10">
        <v>781023</v>
      </c>
      <c r="F11" s="10">
        <v>30870</v>
      </c>
      <c r="G11" s="10">
        <v>162937</v>
      </c>
      <c r="H11" s="10">
        <v>335337.12</v>
      </c>
      <c r="I11" s="10"/>
      <c r="J11" s="10">
        <v>26161.24</v>
      </c>
      <c r="K11" s="10">
        <v>108646</v>
      </c>
      <c r="L11" s="10">
        <v>268370</v>
      </c>
      <c r="M11" s="10">
        <v>815794</v>
      </c>
      <c r="N11" s="10">
        <v>251557</v>
      </c>
      <c r="O11" s="10"/>
      <c r="P11" s="10">
        <v>74812.490000000005</v>
      </c>
      <c r="Q11" s="10">
        <v>28593.360000000001</v>
      </c>
      <c r="R11" s="10">
        <v>33201.980000000003</v>
      </c>
      <c r="S11" s="10">
        <v>12504.24</v>
      </c>
      <c r="T11" s="10">
        <v>1587.1</v>
      </c>
      <c r="U11" s="10"/>
      <c r="V11" s="10">
        <v>12315</v>
      </c>
      <c r="W11" s="10">
        <v>195085</v>
      </c>
      <c r="X11" s="10">
        <v>97472.36</v>
      </c>
      <c r="Y11" s="10">
        <v>264980</v>
      </c>
      <c r="Z11" s="10">
        <v>194149</v>
      </c>
      <c r="AA11" s="10">
        <v>376517</v>
      </c>
      <c r="AB11" s="10">
        <v>229307</v>
      </c>
      <c r="AC11" s="10">
        <v>1840438.61</v>
      </c>
      <c r="AD11" s="10">
        <v>-166019</v>
      </c>
      <c r="AE11" s="10">
        <v>10958</v>
      </c>
      <c r="AF11" s="10">
        <v>69712</v>
      </c>
      <c r="AG11" s="63">
        <f t="shared" si="0"/>
        <v>6652619.5000000009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RowHeight="15" x14ac:dyDescent="0.25"/>
  <cols>
    <col min="1" max="1" width="33.140625" style="71" customWidth="1"/>
    <col min="2" max="32" width="16" style="71" customWidth="1"/>
    <col min="33" max="16384" width="9.140625" style="71"/>
  </cols>
  <sheetData>
    <row r="1" spans="1:32" ht="18.75" x14ac:dyDescent="0.3">
      <c r="A1" s="12" t="s">
        <v>287</v>
      </c>
    </row>
    <row r="2" spans="1:32" x14ac:dyDescent="0.25">
      <c r="A2" s="13" t="s">
        <v>98</v>
      </c>
    </row>
    <row r="3" spans="1:32" x14ac:dyDescent="0.25">
      <c r="A3" s="1" t="s">
        <v>0</v>
      </c>
      <c r="B3" s="127" t="s">
        <v>1</v>
      </c>
      <c r="C3" s="127" t="s">
        <v>233</v>
      </c>
      <c r="D3" s="127" t="s">
        <v>2</v>
      </c>
      <c r="E3" s="127" t="s">
        <v>3</v>
      </c>
      <c r="F3" s="127" t="s">
        <v>242</v>
      </c>
      <c r="G3" s="127" t="s">
        <v>234</v>
      </c>
      <c r="H3" s="127" t="s">
        <v>254</v>
      </c>
      <c r="I3" s="127" t="s">
        <v>5</v>
      </c>
      <c r="J3" s="127" t="s">
        <v>4</v>
      </c>
      <c r="K3" s="127" t="s">
        <v>6</v>
      </c>
      <c r="L3" s="127" t="s">
        <v>7</v>
      </c>
      <c r="M3" s="127" t="s">
        <v>8</v>
      </c>
      <c r="N3" s="127" t="s">
        <v>9</v>
      </c>
      <c r="O3" s="127" t="s">
        <v>241</v>
      </c>
      <c r="P3" s="127" t="s">
        <v>10</v>
      </c>
      <c r="Q3" s="127" t="s">
        <v>11</v>
      </c>
      <c r="R3" s="127" t="s">
        <v>235</v>
      </c>
      <c r="S3" s="127" t="s">
        <v>253</v>
      </c>
      <c r="T3" s="127" t="s">
        <v>12</v>
      </c>
      <c r="U3" s="127" t="s">
        <v>236</v>
      </c>
      <c r="V3" s="127" t="s">
        <v>237</v>
      </c>
      <c r="W3" s="127" t="s">
        <v>240</v>
      </c>
      <c r="X3" s="127" t="s">
        <v>13</v>
      </c>
      <c r="Y3" s="127" t="s">
        <v>14</v>
      </c>
      <c r="Z3" s="127" t="s">
        <v>15</v>
      </c>
      <c r="AA3" s="127" t="s">
        <v>16</v>
      </c>
      <c r="AB3" s="127" t="s">
        <v>17</v>
      </c>
      <c r="AC3" s="126" t="s">
        <v>238</v>
      </c>
      <c r="AD3" s="126" t="s">
        <v>239</v>
      </c>
      <c r="AE3" s="126" t="s">
        <v>18</v>
      </c>
      <c r="AF3" s="127" t="s">
        <v>19</v>
      </c>
    </row>
    <row r="4" spans="1:32" x14ac:dyDescent="0.25">
      <c r="A4" s="92" t="s">
        <v>288</v>
      </c>
      <c r="B4" s="92"/>
      <c r="C4" s="92"/>
      <c r="D4" s="92"/>
      <c r="E4" s="92"/>
      <c r="F4" s="92"/>
      <c r="G4" s="92">
        <v>10000</v>
      </c>
      <c r="H4" s="92"/>
      <c r="I4" s="92"/>
      <c r="J4" s="92"/>
      <c r="K4" s="92"/>
      <c r="L4" s="92">
        <v>50400</v>
      </c>
      <c r="M4" s="71">
        <v>25500</v>
      </c>
      <c r="N4" s="92"/>
      <c r="O4" s="92"/>
      <c r="P4" s="92"/>
      <c r="Q4" s="92"/>
      <c r="R4" s="92">
        <v>11100</v>
      </c>
      <c r="S4" s="92"/>
      <c r="T4" s="92">
        <v>89500</v>
      </c>
      <c r="U4" s="92"/>
      <c r="V4" s="92"/>
      <c r="W4" s="92">
        <v>23000</v>
      </c>
      <c r="X4" s="92">
        <v>12600</v>
      </c>
      <c r="Y4" s="92"/>
      <c r="Z4" s="92"/>
      <c r="AA4" s="92">
        <v>65000</v>
      </c>
      <c r="AB4" s="92">
        <v>36300</v>
      </c>
      <c r="AC4" s="92"/>
      <c r="AD4" s="92">
        <v>75000</v>
      </c>
      <c r="AE4" s="92">
        <v>90000</v>
      </c>
      <c r="AF4" s="92"/>
    </row>
    <row r="5" spans="1:32" x14ac:dyDescent="0.25">
      <c r="A5" s="92" t="s">
        <v>289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>
        <v>29.58</v>
      </c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</row>
    <row r="6" spans="1:32" x14ac:dyDescent="0.25">
      <c r="A6" s="92" t="s">
        <v>290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>
        <v>2.06</v>
      </c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</row>
    <row r="7" spans="1:32" x14ac:dyDescent="0.25">
      <c r="A7" s="92" t="s">
        <v>31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</row>
    <row r="8" spans="1:32" s="7" customFormat="1" x14ac:dyDescent="0.25">
      <c r="A8" s="10" t="s">
        <v>40</v>
      </c>
      <c r="B8" s="10"/>
      <c r="C8" s="10"/>
      <c r="D8" s="10"/>
      <c r="E8" s="10"/>
      <c r="F8" s="10"/>
      <c r="G8" s="10">
        <v>10000</v>
      </c>
      <c r="H8" s="10"/>
      <c r="I8" s="10"/>
      <c r="J8" s="10"/>
      <c r="K8" s="10"/>
      <c r="L8" s="10">
        <v>50400</v>
      </c>
      <c r="M8" s="10">
        <v>25500</v>
      </c>
      <c r="N8" s="10"/>
      <c r="O8" s="10"/>
      <c r="P8" s="10"/>
      <c r="Q8" s="10">
        <v>31.64</v>
      </c>
      <c r="R8" s="10">
        <v>11100</v>
      </c>
      <c r="S8" s="10"/>
      <c r="T8" s="10">
        <v>89500</v>
      </c>
      <c r="U8" s="10"/>
      <c r="V8" s="10"/>
      <c r="W8" s="10">
        <v>23000</v>
      </c>
      <c r="X8" s="10">
        <v>12600</v>
      </c>
      <c r="Y8" s="10"/>
      <c r="Z8" s="10"/>
      <c r="AA8" s="10"/>
      <c r="AB8" s="10">
        <v>36300</v>
      </c>
      <c r="AC8" s="10"/>
      <c r="AD8" s="10">
        <v>75000</v>
      </c>
      <c r="AE8" s="10">
        <v>90000</v>
      </c>
      <c r="AF8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NL1</vt:lpstr>
      <vt:lpstr>NL2</vt:lpstr>
      <vt:lpstr>NL3</vt:lpstr>
      <vt:lpstr>NL4</vt:lpstr>
      <vt:lpstr>NL5</vt:lpstr>
      <vt:lpstr>NL6</vt:lpstr>
      <vt:lpstr>NL7</vt:lpstr>
      <vt:lpstr>NL10</vt:lpstr>
      <vt:lpstr>NL11</vt:lpstr>
      <vt:lpstr>NL12</vt:lpstr>
      <vt:lpstr>NL13</vt:lpstr>
      <vt:lpstr>NL14</vt:lpstr>
      <vt:lpstr>NL15</vt:lpstr>
      <vt:lpstr>NL17</vt:lpstr>
      <vt:lpstr>NL18</vt:lpstr>
      <vt:lpstr>NL20</vt:lpstr>
      <vt:lpstr>NL26</vt:lpstr>
      <vt:lpstr>NL33</vt:lpstr>
      <vt:lpstr>NL36</vt:lpstr>
      <vt:lpstr>NL40</vt:lpstr>
      <vt:lpstr>NL44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2022-04-05T04:40:16Z</dcterms:modified>
</cp:coreProperties>
</file>